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BALANS 2019\"/>
    </mc:Choice>
  </mc:AlternateContent>
  <bookViews>
    <workbookView xWindow="0" yWindow="60" windowWidth="24000" windowHeight="9075" firstSheet="2" activeTab="5"/>
  </bookViews>
  <sheets>
    <sheet name="РАСХОДИ И ИЗДАЦИ 3" sheetId="2" r:id="rId1"/>
    <sheet name="ОРГАНИЗАЦИОНА 6" sheetId="8" r:id="rId2"/>
    <sheet name="ПРИХОДИ И ПРИМИЦИ 2" sheetId="3" r:id="rId3"/>
    <sheet name="ОПШТИ ДИО 1" sheetId="4" r:id="rId4"/>
    <sheet name="ФИНАНСИРАЊЕ 4" sheetId="5" r:id="rId5"/>
    <sheet name="ФУНКЦИОНАЛНА КЛАСИФИКАЦИЈА 5" sheetId="6" r:id="rId6"/>
  </sheets>
  <calcPr calcId="152511" concurrentCalc="0"/>
</workbook>
</file>

<file path=xl/calcChain.xml><?xml version="1.0" encoding="utf-8"?>
<calcChain xmlns="http://schemas.openxmlformats.org/spreadsheetml/2006/main">
  <c r="E8" i="6" l="1"/>
  <c r="E9" i="6"/>
  <c r="E14" i="6"/>
  <c r="E13" i="6"/>
  <c r="E12" i="6"/>
  <c r="E11" i="6"/>
  <c r="E10" i="6"/>
  <c r="E7" i="6"/>
  <c r="E5" i="6"/>
  <c r="G157" i="8"/>
  <c r="E41" i="2"/>
  <c r="E39" i="2"/>
  <c r="E7" i="2"/>
  <c r="E76" i="2"/>
  <c r="G76" i="2"/>
  <c r="E7" i="5"/>
  <c r="E17" i="5"/>
  <c r="E19" i="5"/>
  <c r="F19" i="5"/>
  <c r="D25" i="5"/>
  <c r="E25" i="5"/>
  <c r="F25" i="5"/>
  <c r="E31" i="4"/>
  <c r="E29" i="4"/>
  <c r="E47" i="4"/>
  <c r="E54" i="4"/>
  <c r="E71" i="4"/>
  <c r="E56" i="4"/>
  <c r="E64" i="4"/>
  <c r="E41" i="4"/>
  <c r="D52" i="4"/>
  <c r="D41" i="4"/>
  <c r="E41" i="3"/>
  <c r="G129" i="8"/>
  <c r="E127" i="8"/>
  <c r="F127" i="8"/>
  <c r="G127" i="8"/>
  <c r="G114" i="8"/>
  <c r="F114" i="8"/>
  <c r="E114" i="8"/>
  <c r="E57" i="2"/>
  <c r="E58" i="2"/>
  <c r="E59" i="2"/>
  <c r="E55" i="2"/>
  <c r="E66" i="2"/>
  <c r="E64" i="2"/>
  <c r="E70" i="2"/>
  <c r="E68" i="2"/>
  <c r="E53" i="2"/>
  <c r="E11" i="2"/>
  <c r="E12" i="2"/>
  <c r="E13" i="2"/>
  <c r="E14" i="2"/>
  <c r="E9" i="2"/>
  <c r="G8" i="8"/>
  <c r="E18" i="2"/>
  <c r="G36" i="8"/>
  <c r="G35" i="8"/>
  <c r="G230" i="8"/>
  <c r="E19" i="2"/>
  <c r="G10" i="8"/>
  <c r="G42" i="8"/>
  <c r="E20" i="2"/>
  <c r="E21" i="2"/>
  <c r="G232" i="8"/>
  <c r="G45" i="8"/>
  <c r="E22" i="2"/>
  <c r="G12" i="8"/>
  <c r="G47" i="8"/>
  <c r="E23" i="2"/>
  <c r="G16" i="8"/>
  <c r="G15" i="8"/>
  <c r="G49" i="8"/>
  <c r="G149" i="8"/>
  <c r="G216" i="8"/>
  <c r="G238" i="8"/>
  <c r="E24" i="2"/>
  <c r="G241" i="8"/>
  <c r="E25" i="2"/>
  <c r="G18" i="8"/>
  <c r="G64" i="8"/>
  <c r="G134" i="8"/>
  <c r="E26" i="2"/>
  <c r="E16" i="2"/>
  <c r="E36" i="2"/>
  <c r="E37" i="2"/>
  <c r="E34" i="2"/>
  <c r="G141" i="8"/>
  <c r="G140" i="8"/>
  <c r="G252" i="8"/>
  <c r="G67" i="8"/>
  <c r="G155" i="8"/>
  <c r="E45" i="2"/>
  <c r="E43" i="2"/>
  <c r="E47" i="2"/>
  <c r="G118" i="8"/>
  <c r="E49" i="2"/>
  <c r="F72" i="2"/>
  <c r="E72" i="2"/>
  <c r="D72" i="2"/>
  <c r="G84" i="8"/>
  <c r="G26" i="8"/>
  <c r="G29" i="8"/>
  <c r="E29" i="2"/>
  <c r="G14" i="2"/>
  <c r="G13" i="2"/>
  <c r="D9" i="2"/>
  <c r="G255" i="8"/>
  <c r="G270" i="8"/>
  <c r="G221" i="8"/>
  <c r="G224" i="8"/>
  <c r="G151" i="8"/>
  <c r="G210" i="8"/>
  <c r="G143" i="8"/>
  <c r="G120" i="8"/>
  <c r="G125" i="8"/>
  <c r="G117" i="8"/>
  <c r="G104" i="8"/>
  <c r="G99" i="8"/>
  <c r="G94" i="8"/>
  <c r="G272" i="8"/>
  <c r="E255" i="8"/>
  <c r="E230" i="8"/>
  <c r="E232" i="8"/>
  <c r="E238" i="8"/>
  <c r="E241" i="8"/>
  <c r="E252" i="8"/>
  <c r="E229" i="8"/>
  <c r="E270" i="8"/>
  <c r="E222" i="8"/>
  <c r="E221" i="8"/>
  <c r="E216" i="8"/>
  <c r="E224" i="8"/>
  <c r="E149" i="8"/>
  <c r="E151" i="8"/>
  <c r="E155" i="8"/>
  <c r="E162" i="8"/>
  <c r="E168" i="8"/>
  <c r="E175" i="8"/>
  <c r="E184" i="8"/>
  <c r="E193" i="8"/>
  <c r="E201" i="8"/>
  <c r="E159" i="8"/>
  <c r="E157" i="8"/>
  <c r="E148" i="8"/>
  <c r="E210" i="8"/>
  <c r="E134" i="8"/>
  <c r="E140" i="8"/>
  <c r="E133" i="8"/>
  <c r="E143" i="8"/>
  <c r="E120" i="8"/>
  <c r="E125" i="8"/>
  <c r="E119" i="8"/>
  <c r="E103" i="8"/>
  <c r="E99" i="8"/>
  <c r="E104" i="8"/>
  <c r="E98" i="8"/>
  <c r="E117" i="8"/>
  <c r="E129" i="8"/>
  <c r="E89" i="8"/>
  <c r="E88" i="8"/>
  <c r="E80" i="8"/>
  <c r="E84" i="8"/>
  <c r="E79" i="8"/>
  <c r="E77" i="8"/>
  <c r="E35" i="8"/>
  <c r="E42" i="8"/>
  <c r="E49" i="8"/>
  <c r="E64" i="8"/>
  <c r="E67" i="8"/>
  <c r="E45" i="8"/>
  <c r="E47" i="8"/>
  <c r="E34" i="8"/>
  <c r="E94" i="8"/>
  <c r="E26" i="8"/>
  <c r="E8" i="8"/>
  <c r="E10" i="8"/>
  <c r="E12" i="8"/>
  <c r="E15" i="8"/>
  <c r="E18" i="8"/>
  <c r="E7" i="8"/>
  <c r="E29" i="8"/>
  <c r="E272" i="8"/>
  <c r="F256" i="8"/>
  <c r="F252" i="8"/>
  <c r="F241" i="8"/>
  <c r="F238" i="8"/>
  <c r="F232" i="8"/>
  <c r="F230" i="8"/>
  <c r="F222" i="8"/>
  <c r="F221" i="8"/>
  <c r="F217" i="8"/>
  <c r="F218" i="8"/>
  <c r="F219" i="8"/>
  <c r="F216" i="8"/>
  <c r="F224" i="8"/>
  <c r="F208" i="8"/>
  <c r="F206" i="8"/>
  <c r="F205" i="8"/>
  <c r="F204" i="8"/>
  <c r="F203" i="8"/>
  <c r="F202" i="8"/>
  <c r="F201" i="8"/>
  <c r="F199" i="8"/>
  <c r="F198" i="8"/>
  <c r="F197" i="8"/>
  <c r="F195" i="8"/>
  <c r="F193" i="8"/>
  <c r="F191" i="8"/>
  <c r="F190" i="8"/>
  <c r="F189" i="8"/>
  <c r="F188" i="8"/>
  <c r="F187" i="8"/>
  <c r="F186" i="8"/>
  <c r="F185" i="8"/>
  <c r="F184" i="8"/>
  <c r="F182" i="8"/>
  <c r="F181" i="8"/>
  <c r="F180" i="8"/>
  <c r="F179" i="8"/>
  <c r="F178" i="8"/>
  <c r="F177" i="8"/>
  <c r="F176" i="8"/>
  <c r="F175" i="8"/>
  <c r="F173" i="8"/>
  <c r="F172" i="8"/>
  <c r="F171" i="8"/>
  <c r="F170" i="8"/>
  <c r="F169" i="8"/>
  <c r="F168" i="8"/>
  <c r="F166" i="8"/>
  <c r="F165" i="8"/>
  <c r="F164" i="8"/>
  <c r="F163" i="8"/>
  <c r="F162" i="8"/>
  <c r="F159" i="8"/>
  <c r="F157" i="8"/>
  <c r="F155" i="8"/>
  <c r="F151" i="8"/>
  <c r="F149" i="8"/>
  <c r="F141" i="8"/>
  <c r="F140" i="8"/>
  <c r="F134" i="8"/>
  <c r="F143" i="8"/>
  <c r="F126" i="8"/>
  <c r="F125" i="8"/>
  <c r="F120" i="8"/>
  <c r="F118" i="8"/>
  <c r="F117" i="8"/>
  <c r="F108" i="8"/>
  <c r="F109" i="8"/>
  <c r="F104" i="8"/>
  <c r="F99" i="8"/>
  <c r="F129" i="8"/>
  <c r="F77" i="8"/>
  <c r="F68" i="8"/>
  <c r="F67" i="8"/>
  <c r="F64" i="8"/>
  <c r="F54" i="8"/>
  <c r="F49" i="8"/>
  <c r="F47" i="8"/>
  <c r="F45" i="8"/>
  <c r="F44" i="8"/>
  <c r="F42" i="8"/>
  <c r="F35" i="8"/>
  <c r="F94" i="8"/>
  <c r="G77" i="8"/>
  <c r="F26" i="8"/>
  <c r="F25" i="8"/>
  <c r="F18" i="8"/>
  <c r="F15" i="8"/>
  <c r="F12" i="8"/>
  <c r="F10" i="8"/>
  <c r="F8" i="8"/>
  <c r="F29" i="8"/>
  <c r="E66" i="3"/>
  <c r="E32" i="3"/>
  <c r="E24" i="3"/>
  <c r="E20" i="3"/>
  <c r="E72" i="3"/>
  <c r="E61" i="3"/>
  <c r="D32" i="3"/>
  <c r="G52" i="4"/>
  <c r="F52" i="4"/>
  <c r="F51" i="4"/>
  <c r="G43" i="4"/>
  <c r="F43" i="4"/>
  <c r="G34" i="4"/>
  <c r="G35" i="4"/>
  <c r="G36" i="4"/>
  <c r="G37" i="4"/>
  <c r="G38" i="4"/>
  <c r="G39" i="4"/>
  <c r="G33" i="4"/>
  <c r="F34" i="4"/>
  <c r="F35" i="4"/>
  <c r="F36" i="4"/>
  <c r="F37" i="4"/>
  <c r="F38" i="4"/>
  <c r="F39" i="4"/>
  <c r="F33" i="4"/>
  <c r="D31" i="4"/>
  <c r="G31" i="4"/>
  <c r="F31" i="4"/>
  <c r="D29" i="4"/>
  <c r="G29" i="4"/>
  <c r="F29" i="4"/>
  <c r="F27" i="4"/>
  <c r="G27" i="4"/>
  <c r="G26" i="4"/>
  <c r="F26" i="4"/>
  <c r="D24" i="4"/>
  <c r="E24" i="4"/>
  <c r="G24" i="4"/>
  <c r="F24" i="4"/>
  <c r="G20" i="4"/>
  <c r="G21" i="4"/>
  <c r="G22" i="4"/>
  <c r="G19" i="4"/>
  <c r="F20" i="4"/>
  <c r="F21" i="4"/>
  <c r="F22" i="4"/>
  <c r="F19" i="4"/>
  <c r="D17" i="4"/>
  <c r="E17" i="4"/>
  <c r="G17" i="4"/>
  <c r="F17" i="4"/>
  <c r="F12" i="4"/>
  <c r="F13" i="4"/>
  <c r="F14" i="4"/>
  <c r="F15" i="4"/>
  <c r="F11" i="4"/>
  <c r="G14" i="4"/>
  <c r="G15" i="4"/>
  <c r="G12" i="4"/>
  <c r="G13" i="4"/>
  <c r="G11" i="4"/>
  <c r="D9" i="4"/>
  <c r="E9" i="4"/>
  <c r="G9" i="4"/>
  <c r="D7" i="4"/>
  <c r="E7" i="4"/>
  <c r="G7" i="4"/>
  <c r="F9" i="4"/>
  <c r="F7" i="4"/>
  <c r="D47" i="4"/>
  <c r="D49" i="4"/>
  <c r="D54" i="4"/>
  <c r="D58" i="4"/>
  <c r="D64" i="4"/>
  <c r="D56" i="4"/>
  <c r="D71" i="4"/>
  <c r="E8" i="3"/>
  <c r="E11" i="3"/>
  <c r="E16" i="3"/>
  <c r="E13" i="3"/>
  <c r="E6" i="3"/>
  <c r="D16" i="2"/>
  <c r="D29" i="2"/>
  <c r="D34" i="2"/>
  <c r="D39" i="2"/>
  <c r="D43" i="2"/>
  <c r="D7" i="2"/>
  <c r="D55" i="2"/>
  <c r="D64" i="2"/>
  <c r="D68" i="2"/>
  <c r="D53" i="2"/>
  <c r="D76" i="2"/>
  <c r="G12" i="2"/>
  <c r="G11" i="2"/>
  <c r="F13" i="2"/>
  <c r="F14" i="2"/>
  <c r="F9" i="2"/>
  <c r="G9" i="2"/>
  <c r="F21" i="6"/>
  <c r="F22" i="6"/>
  <c r="E15" i="6"/>
  <c r="F48" i="3"/>
  <c r="G48" i="3"/>
  <c r="F15" i="3"/>
  <c r="F14" i="3"/>
  <c r="D13" i="3"/>
  <c r="F13" i="3"/>
  <c r="G25" i="2"/>
  <c r="F23" i="2"/>
  <c r="D23" i="6"/>
  <c r="G64" i="2"/>
  <c r="E49" i="4"/>
  <c r="E22" i="3"/>
  <c r="E44" i="3"/>
  <c r="E46" i="3"/>
  <c r="E53" i="3"/>
  <c r="E57" i="3"/>
  <c r="E51" i="3"/>
  <c r="F49" i="2"/>
  <c r="G47" i="2"/>
  <c r="G68" i="2"/>
  <c r="G70" i="2"/>
  <c r="F70" i="2"/>
  <c r="F68" i="2"/>
  <c r="G66" i="2"/>
  <c r="F66" i="2"/>
  <c r="F64" i="2"/>
  <c r="G59" i="2"/>
  <c r="G62" i="2"/>
  <c r="F59" i="2"/>
  <c r="F60" i="2"/>
  <c r="F61" i="2"/>
  <c r="F62" i="2"/>
  <c r="F57" i="2"/>
  <c r="F51" i="2"/>
  <c r="F47" i="2"/>
  <c r="F43" i="2"/>
  <c r="G45" i="2"/>
  <c r="F45" i="2"/>
  <c r="G39" i="2"/>
  <c r="F39" i="2"/>
  <c r="G41" i="2"/>
  <c r="F41" i="2"/>
  <c r="G37" i="2"/>
  <c r="G36" i="2"/>
  <c r="F37" i="2"/>
  <c r="F36" i="2"/>
  <c r="F29" i="2"/>
  <c r="F32" i="2"/>
  <c r="F31" i="2"/>
  <c r="G19" i="2"/>
  <c r="G20" i="2"/>
  <c r="G21" i="2"/>
  <c r="G22" i="2"/>
  <c r="G24" i="2"/>
  <c r="G26" i="2"/>
  <c r="G18" i="2"/>
  <c r="F19" i="2"/>
  <c r="F20" i="2"/>
  <c r="F21" i="2"/>
  <c r="F22" i="2"/>
  <c r="F24" i="2"/>
  <c r="F25" i="2"/>
  <c r="F26" i="2"/>
  <c r="F18" i="2"/>
  <c r="D63" i="3"/>
  <c r="D61" i="3"/>
  <c r="D8" i="3"/>
  <c r="D11" i="3"/>
  <c r="D16" i="3"/>
  <c r="D6" i="3"/>
  <c r="D22" i="3"/>
  <c r="D44" i="3"/>
  <c r="D24" i="3"/>
  <c r="D46" i="3"/>
  <c r="D20" i="3"/>
  <c r="D53" i="3"/>
  <c r="D57" i="3"/>
  <c r="D51" i="3"/>
  <c r="D72" i="3"/>
  <c r="F59" i="3"/>
  <c r="F55" i="3"/>
  <c r="G55" i="3"/>
  <c r="G59" i="3"/>
  <c r="G23" i="3"/>
  <c r="G25" i="3"/>
  <c r="G26" i="3"/>
  <c r="G35" i="3"/>
  <c r="G36" i="3"/>
  <c r="G37" i="3"/>
  <c r="G38" i="3"/>
  <c r="G39" i="3"/>
  <c r="G40" i="3"/>
  <c r="G42" i="3"/>
  <c r="G43" i="3"/>
  <c r="G45" i="3"/>
  <c r="G47" i="3"/>
  <c r="F23" i="3"/>
  <c r="F25" i="3"/>
  <c r="F26" i="3"/>
  <c r="F33" i="3"/>
  <c r="F34" i="3"/>
  <c r="F35" i="3"/>
  <c r="F36" i="3"/>
  <c r="F37" i="3"/>
  <c r="F38" i="3"/>
  <c r="F39" i="3"/>
  <c r="F40" i="3"/>
  <c r="F42" i="3"/>
  <c r="F43" i="3"/>
  <c r="F45" i="3"/>
  <c r="F47" i="3"/>
  <c r="G9" i="3"/>
  <c r="G10" i="3"/>
  <c r="G12" i="3"/>
  <c r="G17" i="3"/>
  <c r="G18" i="3"/>
  <c r="F10" i="3"/>
  <c r="F12" i="3"/>
  <c r="F17" i="3"/>
  <c r="F18" i="3"/>
  <c r="F9" i="3"/>
  <c r="F17" i="5"/>
  <c r="F9" i="5"/>
  <c r="D17" i="5"/>
  <c r="E9" i="5"/>
  <c r="D9" i="5"/>
  <c r="G16" i="2"/>
  <c r="G34" i="2"/>
  <c r="G43" i="2"/>
  <c r="F16" i="2"/>
  <c r="F12" i="2"/>
  <c r="F53" i="3"/>
  <c r="F46" i="3"/>
  <c r="G22" i="3"/>
  <c r="F44" i="3"/>
  <c r="G46" i="3"/>
  <c r="G53" i="3"/>
  <c r="G44" i="3"/>
  <c r="G41" i="3"/>
  <c r="F41" i="3"/>
  <c r="F16" i="3"/>
  <c r="G8" i="3"/>
  <c r="F6" i="3"/>
  <c r="F57" i="3"/>
  <c r="F8" i="3"/>
  <c r="G16" i="3"/>
  <c r="G51" i="3"/>
  <c r="G32" i="3"/>
  <c r="G23" i="2"/>
  <c r="G57" i="2"/>
  <c r="G58" i="2"/>
  <c r="F58" i="2"/>
  <c r="F34" i="2"/>
  <c r="G55" i="2"/>
  <c r="F55" i="2"/>
  <c r="F23" i="6"/>
  <c r="E23" i="6"/>
  <c r="G24" i="3"/>
  <c r="F11" i="3"/>
  <c r="G11" i="3"/>
  <c r="F22" i="3"/>
  <c r="F11" i="2"/>
  <c r="F32" i="3"/>
  <c r="G57" i="3"/>
  <c r="G7" i="2"/>
  <c r="F7" i="2"/>
  <c r="G72" i="3"/>
  <c r="G6" i="3"/>
  <c r="F51" i="3"/>
  <c r="F24" i="3"/>
  <c r="F53" i="2"/>
  <c r="G53" i="2"/>
  <c r="F76" i="2"/>
  <c r="F20" i="3"/>
  <c r="G20" i="3"/>
  <c r="F72" i="3"/>
</calcChain>
</file>

<file path=xl/sharedStrings.xml><?xml version="1.0" encoding="utf-8"?>
<sst xmlns="http://schemas.openxmlformats.org/spreadsheetml/2006/main" count="480" uniqueCount="389">
  <si>
    <t>Економски код</t>
  </si>
  <si>
    <t>ОПИС</t>
  </si>
  <si>
    <t>Расходи по основу закупа</t>
  </si>
  <si>
    <t>Расходи по основу путовања и смјештаја</t>
  </si>
  <si>
    <t>Остали расходи</t>
  </si>
  <si>
    <t>УКУПНО</t>
  </si>
  <si>
    <t>Расходи за стручне услуге</t>
  </si>
  <si>
    <t>СОЦИЈАЛНА ЗАШТИТА</t>
  </si>
  <si>
    <t>Расходи по основу кориштења роба и услуга</t>
  </si>
  <si>
    <t>Грантови</t>
  </si>
  <si>
    <t>БУЏЕТСКА РЕЗЕРВА</t>
  </si>
  <si>
    <t>Субвенције</t>
  </si>
  <si>
    <t>Дознаке на име социјалне заштите</t>
  </si>
  <si>
    <t>ТЕКУЋИ РАСХОДИ</t>
  </si>
  <si>
    <t>РАСХОДИ ЗА ЛИЧНА ПРИМАЊА</t>
  </si>
  <si>
    <t>Расходи за бруто плате</t>
  </si>
  <si>
    <t>Бруто накнаде трошкова</t>
  </si>
  <si>
    <t>РАСХОДИ ПО ОСНОВУ КОРИШТЕЊЕ РОБА И УСЛУГА</t>
  </si>
  <si>
    <t>Расходи по основу утрошка енергије, комуналних, комуникационих услуга</t>
  </si>
  <si>
    <t>Расходи за режијски материјал</t>
  </si>
  <si>
    <t>Расходи за посебне намјене</t>
  </si>
  <si>
    <t>Расходи за текуће одржавање</t>
  </si>
  <si>
    <t>Расходи за услуге одржавања јавних површина</t>
  </si>
  <si>
    <t>РАСХОДИ ФИНАНСИРАЊА И ДРУГИ ФИНАНСИЈСКИ ТРОШКОВИ</t>
  </si>
  <si>
    <t>Расходи по основу камата на примљене зајмове у земљи</t>
  </si>
  <si>
    <t>Расходи по основу затезних камата</t>
  </si>
  <si>
    <t>СУБВЕНЦИЈЕ</t>
  </si>
  <si>
    <t>Субвенције у области пољопривреде</t>
  </si>
  <si>
    <t>Субвенције за запошљавање и самозапошљавање</t>
  </si>
  <si>
    <t xml:space="preserve">ГРАНТОВИ </t>
  </si>
  <si>
    <t>Грантови у земљи</t>
  </si>
  <si>
    <t>ДОЗНАКЕ НА ИМЕ СОЦИЈАНЕ ЗАШТИТЕ</t>
  </si>
  <si>
    <t xml:space="preserve">Дознаке грађанима које се исплаћују из буџета општине </t>
  </si>
  <si>
    <t>*****</t>
  </si>
  <si>
    <t>ИЗДАЦИ ЗА НЕФИНАНСИЈСКУ ИМОВИНУ</t>
  </si>
  <si>
    <t>ИЗДАЦИ ЗА НЕПРОИЗВЕДЕНУ СТАЛНУ ИМОВИНУ</t>
  </si>
  <si>
    <t>Издаци за изградњу и прибављање зграда и објеката</t>
  </si>
  <si>
    <t>Издаци за инвестиционо одржавање реконструкцију и адаптацију зграда и објеката</t>
  </si>
  <si>
    <t>Издаци за набавку постројења и опреме</t>
  </si>
  <si>
    <t>Издаци за инвестиционо одржавање опреме</t>
  </si>
  <si>
    <t>Издаци за биолошку имовину</t>
  </si>
  <si>
    <t>Издаци за нематеријалну произведену имовину</t>
  </si>
  <si>
    <t>ИЗДАЦИ ЗА ПРОИЗВЕДЕНУ СТАЛНУ ИМОВИНУ</t>
  </si>
  <si>
    <t>Издаци за прибављање земљишта</t>
  </si>
  <si>
    <t>ИЗДАЦИ ЗА ЗАЛИХЕ МАТЕРИЈАЛА, РОБЕ, СИТНОГ ИНВ. И СЛ.</t>
  </si>
  <si>
    <t>Ситан инвентар, ауто гуме, унифоме и сл.</t>
  </si>
  <si>
    <t>ПОРЕСКИ ПРИХОДИ</t>
  </si>
  <si>
    <t>Порези на лична примања и приходе од самосталне дјелатности</t>
  </si>
  <si>
    <t>Порез на приходе од самосталне дјелатности</t>
  </si>
  <si>
    <t>Порез на лична примања</t>
  </si>
  <si>
    <t>Порез на имовину</t>
  </si>
  <si>
    <t>Порез на непокретности</t>
  </si>
  <si>
    <t>Индиректни порези</t>
  </si>
  <si>
    <t>Индиректни порези дозначени од Управе за индиректно опорезивање</t>
  </si>
  <si>
    <t>Остали порески приходи</t>
  </si>
  <si>
    <t>НЕПОРЕСКИ ПРИХОДИ</t>
  </si>
  <si>
    <t>Приходи од имовине</t>
  </si>
  <si>
    <t>Приходи од давања у закуп пословних објеката</t>
  </si>
  <si>
    <t>Накнаде, таксе и приходи од пружања јавних услуга</t>
  </si>
  <si>
    <t>Административне општинске таксе</t>
  </si>
  <si>
    <t>Комуналне накнаде и таксе</t>
  </si>
  <si>
    <t xml:space="preserve">Комунална такса на фирму </t>
  </si>
  <si>
    <t>Комунална такса на држање животиња</t>
  </si>
  <si>
    <t>Комунална такса за кориштење простора на јавним површинама</t>
  </si>
  <si>
    <t>Комнална такса за кориштење рекламних паноа</t>
  </si>
  <si>
    <t>Боравишна такса</t>
  </si>
  <si>
    <t>Накнаде по разним основама</t>
  </si>
  <si>
    <t>Накнада за уређење грађевинског земљишта</t>
  </si>
  <si>
    <t>Накнада за кориштење грађевинског земљишта</t>
  </si>
  <si>
    <t>Накнада за воде за индустријске процесе укључујући и термоелектране</t>
  </si>
  <si>
    <t>Накнаде за промјену намјене пољопривредног земљишта</t>
  </si>
  <si>
    <t>Накнада за шуме</t>
  </si>
  <si>
    <t>Накнада за воде</t>
  </si>
  <si>
    <t>Накнада за кориштење комуналних добара</t>
  </si>
  <si>
    <t>Средства за финансирање посебних мјера заштите од пожара</t>
  </si>
  <si>
    <t>Накнада за кориштење природних ресурса у сврху производње електричне енергије</t>
  </si>
  <si>
    <t>Накнада за извађени материјал из водотокова</t>
  </si>
  <si>
    <t>Накнда за кориштење минералних сировина</t>
  </si>
  <si>
    <t>Приходи од пружања јавних услуга</t>
  </si>
  <si>
    <t>Приходи општинских органа управе</t>
  </si>
  <si>
    <t>Новчане казне</t>
  </si>
  <si>
    <t xml:space="preserve">Општинске новчане казне </t>
  </si>
  <si>
    <t>ГРАНТОВИ И ТРАНСФЕРИ</t>
  </si>
  <si>
    <t>ГРАНТОВИ</t>
  </si>
  <si>
    <t>ТРАНСФЕРИ</t>
  </si>
  <si>
    <t>Трансфер Министарства здравља и социјалне заштите за финансирање обавезних права штићеника социјалне заштите</t>
  </si>
  <si>
    <t>ПРИМИЦИ ЗА НЕФИНАНСИЈСКУ ИМОВИНУ</t>
  </si>
  <si>
    <t>Примициц за непроизведену сталну имовину</t>
  </si>
  <si>
    <t>Примици за градско грађевинско земљиште</t>
  </si>
  <si>
    <t>УКУПНО БУЏЕТСКИ ПРИХОДИ</t>
  </si>
  <si>
    <t>Грантови за подршку пројектима</t>
  </si>
  <si>
    <t>БУЏЕТСКИ ПРИХОДИ</t>
  </si>
  <si>
    <t>Остали непорески приходи</t>
  </si>
  <si>
    <t>БУЏЕТСКИ РАСХОДИ</t>
  </si>
  <si>
    <t>Расходи за лична примања</t>
  </si>
  <si>
    <t xml:space="preserve">Расходи финансирања и други финансијски трошкови </t>
  </si>
  <si>
    <t>******</t>
  </si>
  <si>
    <t>БУЏЕТСКА  РЕЗЕРВА</t>
  </si>
  <si>
    <t>БРУТО БУЏЕТСКИ СУФИЦИТ/ДЕФИЦИТ</t>
  </si>
  <si>
    <t>НЕТО ИЗДАЦИ ЗА НЕФИНАНСИЈСКУ ИМОВИНУ</t>
  </si>
  <si>
    <t>Примици за нефинансијску имовину</t>
  </si>
  <si>
    <t>Издаци за нефинансијску имовини</t>
  </si>
  <si>
    <t>БУЏЕТСКИ СУФИЦИТ/ДЕФИЦИТ</t>
  </si>
  <si>
    <t>НЕТО ФИНАНСИРАЊЕ</t>
  </si>
  <si>
    <t>НЕТО ПРИМИЦИ ОД ФИНАНСИЈСКЕ ИМОВИНЕ</t>
  </si>
  <si>
    <t>Примици од финансијске имовине</t>
  </si>
  <si>
    <t>Издаци за финансијску имовину</t>
  </si>
  <si>
    <t>НЕТО ЗАДУЖИВАЊЕ</t>
  </si>
  <si>
    <t>Примици од задуживања</t>
  </si>
  <si>
    <t>Издаци за отплату дугова</t>
  </si>
  <si>
    <t>РАЗЛИКА У ФИНАНСИРАЊУ</t>
  </si>
  <si>
    <t>ФИНАНСИРАЊЕ</t>
  </si>
  <si>
    <t>НЕТО ПРИМИЦИ ОД ФИНАНСИЈСКЕ ИМОВИНЕ И ЗАДУЖИВАЊА</t>
  </si>
  <si>
    <t>ПРИМИЦИ ОД ФИНАНСИЈСКЕ ИМОВИНЕ</t>
  </si>
  <si>
    <t>Примици од наплате датих зајмова</t>
  </si>
  <si>
    <t>ИЗДАЦИ ЗА ФИНАНСИЈСКУ ИМОВИНУ</t>
  </si>
  <si>
    <t>Издаци за дате зајмове</t>
  </si>
  <si>
    <t>ПРИМИЦИ ОД ЗАДУЖИВАЊА</t>
  </si>
  <si>
    <t>Примици од узетих зајмови</t>
  </si>
  <si>
    <t>ИЗДАЦИ ЗА ОТПЛАТУ ДУГОВА</t>
  </si>
  <si>
    <t>Издаци за отплату обавеза из ранијих периода</t>
  </si>
  <si>
    <r>
      <rPr>
        <b/>
        <sz val="8"/>
        <color indexed="8"/>
        <rFont val="Arial"/>
        <family val="2"/>
      </rPr>
      <t>О</t>
    </r>
    <r>
      <rPr>
        <b/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П</t>
    </r>
    <r>
      <rPr>
        <b/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И</t>
    </r>
    <r>
      <rPr>
        <b/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>С</t>
    </r>
  </si>
  <si>
    <t>O1</t>
  </si>
  <si>
    <t>ОПШТЕ ЈАВНЕ УСЛУГЕ</t>
  </si>
  <si>
    <t>O2</t>
  </si>
  <si>
    <t>ОДБРАНА</t>
  </si>
  <si>
    <t>O3</t>
  </si>
  <si>
    <t>ЈАВНИ РЕД И СИГУРНОСТ</t>
  </si>
  <si>
    <t>O4</t>
  </si>
  <si>
    <t>ЕКОНОМСКИ ПОСЛОВИ</t>
  </si>
  <si>
    <t>ЗАШТИТА ЖИВОТНЕ СРЕДИНЕ</t>
  </si>
  <si>
    <t>O6</t>
  </si>
  <si>
    <t>СТАМБЕНИ И ЗАЈЕДНИЧКИ ПОСЛОВИ</t>
  </si>
  <si>
    <t>О7</t>
  </si>
  <si>
    <t>ЗДРАВСТВО</t>
  </si>
  <si>
    <t>О8</t>
  </si>
  <si>
    <t>РЕКРЕАЦИЈА , КУЛТУРА И РЕЛИГИЈА</t>
  </si>
  <si>
    <t>О9</t>
  </si>
  <si>
    <t>ОБРАЗОВАЊЕ</t>
  </si>
  <si>
    <t>СВЕГА БУЏЕТСКИ РАСХОДИ - БУЏЕТСКА ПОТРОШЊА</t>
  </si>
  <si>
    <t>Расходи по судским рјешењима</t>
  </si>
  <si>
    <t>Разлика (4-3)</t>
  </si>
  <si>
    <t xml:space="preserve">УКУПНО </t>
  </si>
  <si>
    <t>РАСХОДИ ПО СУДСКИМ РЈЕШЕЊИМА</t>
  </si>
  <si>
    <t>Разлика</t>
  </si>
  <si>
    <t xml:space="preserve"> </t>
  </si>
  <si>
    <t>Трансери јединицама локалне самоуправе и ентитима</t>
  </si>
  <si>
    <t>Трансфери јединицама локалне самоуправе</t>
  </si>
  <si>
    <t>Табела 2</t>
  </si>
  <si>
    <t>Функц.
код</t>
  </si>
  <si>
    <t>Функција</t>
  </si>
  <si>
    <t>ЗУ</t>
  </si>
  <si>
    <t>Заједничке услуге</t>
  </si>
  <si>
    <t>ИУ</t>
  </si>
  <si>
    <t>Индивидуалне услуге</t>
  </si>
  <si>
    <t>зу</t>
  </si>
  <si>
    <t>иу</t>
  </si>
  <si>
    <t>иу+зу</t>
  </si>
  <si>
    <t>Индекс (4/3)*100</t>
  </si>
  <si>
    <t>Порези на промет производа и услуга</t>
  </si>
  <si>
    <t>Порези на промет производа</t>
  </si>
  <si>
    <t>Порези на промет услуга</t>
  </si>
  <si>
    <t>Остали општински непорески прииходи</t>
  </si>
  <si>
    <t>Намјенска неутрошена средсва из 2017. године</t>
  </si>
  <si>
    <t>НАЗИВ ПОТРОШАЧКЕ ЈЕДИНИЦЕ: СКУПШТИНА ОПШТИНЕ</t>
  </si>
  <si>
    <t>Број потрошачке јединице: 0138110</t>
  </si>
  <si>
    <t>Текући расходи</t>
  </si>
  <si>
    <t>Расходи за стручну литературу и часописе</t>
  </si>
  <si>
    <t>претплата за службени гласник РС (шест лиценци)</t>
  </si>
  <si>
    <t>у земљи</t>
  </si>
  <si>
    <t>у иностранству</t>
  </si>
  <si>
    <t>Стручне услуге</t>
  </si>
  <si>
    <t>услуге штампања Службеног гласника општине Станари</t>
  </si>
  <si>
    <t>остале стручне услуге</t>
  </si>
  <si>
    <t>накнаде скупштинским одборницима</t>
  </si>
  <si>
    <t>организовање манифестација, пријема и сл.</t>
  </si>
  <si>
    <t>репрезентација у земљи</t>
  </si>
  <si>
    <t>репрезентација у иностранству</t>
  </si>
  <si>
    <t>расходи за израду медаља, плакета и сл. Приликом додјеле општинских признања</t>
  </si>
  <si>
    <t>остале непоменути расходи</t>
  </si>
  <si>
    <t>Издаци за набавку нефинансијске имовине</t>
  </si>
  <si>
    <t>Издаци за набавку комуникационе опреме</t>
  </si>
  <si>
    <t>опрема и озвучење за сједнице Скупштине</t>
  </si>
  <si>
    <t>НАЗИВ ПОТРОШАЧКЕ ЈЕДИНИЦЕ: ОПШТА УПРАВА</t>
  </si>
  <si>
    <t>Број потрошачке јединице: 0138130</t>
  </si>
  <si>
    <t>Расходи по основу утрошка енергије, комунални и комуникаионих услуга</t>
  </si>
  <si>
    <t>електрична енергија</t>
  </si>
  <si>
    <t>услуге водовода и канализације</t>
  </si>
  <si>
    <t>трошак за комуникационе услуге</t>
  </si>
  <si>
    <t>поштанске услуге</t>
  </si>
  <si>
    <t>Режијски материјал</t>
  </si>
  <si>
    <t>материјал за одржавање чистоће</t>
  </si>
  <si>
    <t>расходи за тручну литературу и часописе</t>
  </si>
  <si>
    <t>Текуће одржавање</t>
  </si>
  <si>
    <t>Одржавање канцеларијске и друге опреме</t>
  </si>
  <si>
    <t>Утрошак горива</t>
  </si>
  <si>
    <t>Утроша горива за потребе службених возила</t>
  </si>
  <si>
    <t>осигурање возила</t>
  </si>
  <si>
    <t>осигурање запослених</t>
  </si>
  <si>
    <t>услуге објављивања тендера, огласа и информативних текстова</t>
  </si>
  <si>
    <t>услуге објављивања законских и подзаконских аката</t>
  </si>
  <si>
    <t>општинске свечаности, медијске презентације,информисања</t>
  </si>
  <si>
    <t>Расходи за адвокатске услуге</t>
  </si>
  <si>
    <t>Расходи за услуге нотара</t>
  </si>
  <si>
    <t>Расходи за услуге превођења</t>
  </si>
  <si>
    <t>Расходи за услуге овјере и верификације</t>
  </si>
  <si>
    <t>остале правне и административне услуге</t>
  </si>
  <si>
    <t>процјенитељске услуге</t>
  </si>
  <si>
    <t>услуге вјештачења</t>
  </si>
  <si>
    <t>савјетодавне услуге</t>
  </si>
  <si>
    <t>текуће дознаке корисницима социјалне заштите које се исплаћују од стране установе социјалне заштите (праава која остварују корисници права соијалне заштите ,а која се дијелом финансирају из буџета, а дијелом из Министарства)</t>
  </si>
  <si>
    <t>помоћ породицама палих бораца, ратних војних инвалида и цивилних жртава рата и борцима</t>
  </si>
  <si>
    <t>помоћ при заснивању породице</t>
  </si>
  <si>
    <t>помоћ породици, дјеци и младима</t>
  </si>
  <si>
    <t>помоћ избјеглим и расељеним лицима</t>
  </si>
  <si>
    <t>помоћ пензионерима и незапосленим лицима</t>
  </si>
  <si>
    <t>помоћ грађанима у натури</t>
  </si>
  <si>
    <t>остале текуће дознаке на име социјалне заштите које се исплаћују из буџета општине</t>
  </si>
  <si>
    <t>финансирање партиципације здравственим осигураницицма са подручија општине Станари</t>
  </si>
  <si>
    <t>Издаци за нефинансијску имовину</t>
  </si>
  <si>
    <t>Адаптација објеката за рад Мјесних заједница</t>
  </si>
  <si>
    <t>ВАТРОГАСНА ЈЕДИНИЦА</t>
  </si>
  <si>
    <t>Обука кадрова</t>
  </si>
  <si>
    <t>бруто накнаде ван радног односа (уговори о дјелу, уговори о привременим и повременим пословима и сл)</t>
  </si>
  <si>
    <t>набавка професионалне ватрогасне опреме</t>
  </si>
  <si>
    <t>набавка ватрогасне униформе и остале опреме</t>
  </si>
  <si>
    <t>ЦИВИЛНА ЗАШТИТА</t>
  </si>
  <si>
    <t>Расходи по основу посебних намјена</t>
  </si>
  <si>
    <t>НАЗИВ ПОТРОШАЧКЕ ЈЕДИНИЦЕ: ОДЈЕЉЕЊЕ ЗА ФИНАНСИЈЕ И БУЏЕТ</t>
  </si>
  <si>
    <t>Број потрошачке јединице: 0138140</t>
  </si>
  <si>
    <t>Расходи за бруто плате и накнаде</t>
  </si>
  <si>
    <t>Бруто плата</t>
  </si>
  <si>
    <t>Бруто накнаде плата и осталих личних примања запослених</t>
  </si>
  <si>
    <t>Расходи за накнаду плата запослених за вријеме боловања (бруто)</t>
  </si>
  <si>
    <t>Расходи за отпремнине и једнократне помоћи (бруто)</t>
  </si>
  <si>
    <t xml:space="preserve">закуп пословног објекта </t>
  </si>
  <si>
    <t>претплата на стручни часопис Финрар (двије лиценце)</t>
  </si>
  <si>
    <t>текуће одржавање трезорских лиценци</t>
  </si>
  <si>
    <t>Канцеларијски материјал</t>
  </si>
  <si>
    <t>услуге финансијског посредовања, исплата поштама, штампања и сл.</t>
  </si>
  <si>
    <t>бруто накнаде за рад волонтера</t>
  </si>
  <si>
    <t>бруто накнаде за рад комисија</t>
  </si>
  <si>
    <t>бруто накнаде за уговоре о дјелу</t>
  </si>
  <si>
    <t>остали расходи</t>
  </si>
  <si>
    <t>Трансфери између и унутар јединица власти</t>
  </si>
  <si>
    <t>НАБАВКА ПОСТРОЈЕЊА И ОПРЕМЕ</t>
  </si>
  <si>
    <t>рачунарски програми (MS Office, Windows, Kaspersky, Adobe)</t>
  </si>
  <si>
    <t>рачунарска мрежна опрема</t>
  </si>
  <si>
    <t>Ауто гуме, одјећа, обућа и остали ситан инвентар</t>
  </si>
  <si>
    <t>НАЗИВ ПОТРОШАЧКЕ ЈЕДИНИЦЕ: НАЧЕЛНИК ОПШТИНЕ</t>
  </si>
  <si>
    <t>Број потрошачке јединице: 0138120</t>
  </si>
  <si>
    <t>Репрезентација у земљи и иностранству</t>
  </si>
  <si>
    <t>Стручни испити запослених, едукације, курсеви и сл.</t>
  </si>
  <si>
    <t>Правне услуге</t>
  </si>
  <si>
    <t>Спонзорство (културне и спортске манифестације)</t>
  </si>
  <si>
    <t>*******</t>
  </si>
  <si>
    <t>НАЗИВ ПОТРОШАЧКЕ ЈЕДИНИЦЕ: ОДЈЕЉЕЊЕ ЗА ПРИВРЕДУ, ДРУШТВЕНЕ ДЈЕАЛТНОСТИ И ЛОКАЛНИ ЕКОНОМСКИ РАЗВОЈ</t>
  </si>
  <si>
    <t>Број потрошачке јединице: 0138150</t>
  </si>
  <si>
    <t>Текући трошкови</t>
  </si>
  <si>
    <t>Расходи за финансирање услуга ЈОДП ''Противградна заштита'' Републике Српске и хидрометеорлошке службе</t>
  </si>
  <si>
    <t>финансирање постицаја пољопривредне производње</t>
  </si>
  <si>
    <t>финансирање запошљавања и самозапошљавања</t>
  </si>
  <si>
    <t>финанисрање преквлаификације радника и образовња одраслих</t>
  </si>
  <si>
    <t>Стипендије ђацима, ученицима и студентима</t>
  </si>
  <si>
    <t>ПОЛИТИЧКЕ ОРГАНИЗАЦИЈЕ</t>
  </si>
  <si>
    <t>Политичке организације</t>
  </si>
  <si>
    <t>Општинска борачка организција</t>
  </si>
  <si>
    <t xml:space="preserve">Организација породица заробљених и погинулих бораца и несталих цивила </t>
  </si>
  <si>
    <t>Ветерани РС</t>
  </si>
  <si>
    <t>Удружење логораша</t>
  </si>
  <si>
    <t>СПОРТСКИ КЛУБОВИ</t>
  </si>
  <si>
    <t>СД Рудар Станари</t>
  </si>
  <si>
    <t>Клуб борилачких спортова Рудар</t>
  </si>
  <si>
    <t>ТКД Рудар Станари</t>
  </si>
  <si>
    <t>Карате клуб Слога Добој - секција Станари</t>
  </si>
  <si>
    <t>Клуб мажореткиња / sekcija Stanari</t>
  </si>
  <si>
    <t>ОРГАНИЗАЦИЈЕ У ОБАЛСТИ КУЛТУРЕ И ТРАДИЦИЈЕ</t>
  </si>
  <si>
    <t>КУД Лазарица</t>
  </si>
  <si>
    <t>КУД Церовица</t>
  </si>
  <si>
    <t>ЗУ Младост Брестово</t>
  </si>
  <si>
    <t>Удружење Хармоникаша</t>
  </si>
  <si>
    <t>ОСТАЛЕ НЕВЛАДИНЕ ОРГАНИЗАЦИЈЕ</t>
  </si>
  <si>
    <t>Удружење ''Анђео'' Станри</t>
  </si>
  <si>
    <t>'Пољопривредник'' Станари</t>
  </si>
  <si>
    <t>ЛУ Срндаћ Станари</t>
  </si>
  <si>
    <t>СРД Шкобаљ Станари</t>
  </si>
  <si>
    <t>НОР</t>
  </si>
  <si>
    <t>Удружење пензионера</t>
  </si>
  <si>
    <t>ОО Црвени Крст</t>
  </si>
  <si>
    <t>ЦРКВЕНЕ ОПШТИНЕ</t>
  </si>
  <si>
    <t>Станари</t>
  </si>
  <si>
    <t>Јелањска</t>
  </si>
  <si>
    <t>Осредак</t>
  </si>
  <si>
    <t>Церовица</t>
  </si>
  <si>
    <t>Радања Доња</t>
  </si>
  <si>
    <t>Брестово</t>
  </si>
  <si>
    <t>КАПИТАЛНИ ГРАНТОВИ ЈАВНИМ УСТАНОВАМА</t>
  </si>
  <si>
    <t xml:space="preserve">Екосфера </t>
  </si>
  <si>
    <t>ЈУ Спортско-туристичка организација</t>
  </si>
  <si>
    <t>ЈЗУ Дом здравља Станари</t>
  </si>
  <si>
    <t>ЈУ Центар за културу</t>
  </si>
  <si>
    <t>ОШ Десанка Максимовић</t>
  </si>
  <si>
    <t>Полицијска станица Станари</t>
  </si>
  <si>
    <t>Изградња спомен храма у Станарима</t>
  </si>
  <si>
    <t>НАЗИВ ПОТРОШАЧКЕ ЈЕДИНИЦЕ: СЛУЖБА ЗА ПРОСТОРНО УРЕЂЕЊЕ</t>
  </si>
  <si>
    <t>Број потрошачке јединице: 0138170</t>
  </si>
  <si>
    <t>геодетско - катастарске услуге</t>
  </si>
  <si>
    <t>израда елабората и студија</t>
  </si>
  <si>
    <t>Техничка рјешења (издавање УТ услова, идјени пројекти, стручни надзор и и сл.)</t>
  </si>
  <si>
    <t>експропријација земљишта</t>
  </si>
  <si>
    <t xml:space="preserve">НАЗИВ ПОТРОШАЧКЕ ЈЕДИНИЦЕ: Одјељење за стамбено комуналне и инспекијске послове </t>
  </si>
  <si>
    <t>Број потрошачке јединице: 0138160</t>
  </si>
  <si>
    <t>Расходи за комуналне услуге</t>
  </si>
  <si>
    <t>Дератизација и дезинскеција</t>
  </si>
  <si>
    <t>расходи за текуће одржавање зграда у власништву општине Станари</t>
  </si>
  <si>
    <t>санација локалних путева - клизишта</t>
  </si>
  <si>
    <t>оджавање споменика (културни, историјиски, споменици борачких категорија)</t>
  </si>
  <si>
    <t>одржавање локалних путева - насипање (одржавање путева, мостова, сигнализације и сл)</t>
  </si>
  <si>
    <t xml:space="preserve">остало текуће одржавање </t>
  </si>
  <si>
    <t>Послови безбједности саобраћаја</t>
  </si>
  <si>
    <t>Израда локалног еколоког плана (ЛЕАП)</t>
  </si>
  <si>
    <t>Одржавање и заштита животне средине</t>
  </si>
  <si>
    <t>одржавање јавних површина (одржавање гробља, санација постојећих канализационих сливника)</t>
  </si>
  <si>
    <t>одрржавање и уређење водотокова (корите ријека Остружња,Укрина, Радња, Илова....)</t>
  </si>
  <si>
    <t>услуге одржавања зелених површина (кошење траве и амброзије и уређење дивљих депонија)</t>
  </si>
  <si>
    <t>услуге зимске службе</t>
  </si>
  <si>
    <t>чишћење јавних површина (тротоари, путеви, наноси блата)</t>
  </si>
  <si>
    <t>јавна расвјета (утрошак електричне енергије)</t>
  </si>
  <si>
    <t>одвођење атмосферских падавина и других вода са јавних површина</t>
  </si>
  <si>
    <t>дјелатност зоо хигијене (пси луталице и друге животњске штеточине)</t>
  </si>
  <si>
    <t>одржавање и модеризација објеката зкп</t>
  </si>
  <si>
    <t xml:space="preserve">Остали расходи </t>
  </si>
  <si>
    <t>Капитални грантови</t>
  </si>
  <si>
    <t>Капитални грант - помоћ заједницама етажних власника</t>
  </si>
  <si>
    <t>Учешће у изградњи регионалног пута Р474 (дионица кроз општину Станари)</t>
  </si>
  <si>
    <t>Асфалтирање и модернизација путева</t>
  </si>
  <si>
    <t>Изградња рециклажног дворишта</t>
  </si>
  <si>
    <t>Изградња обданишта</t>
  </si>
  <si>
    <t>Изградња парка ''Радости'' - завршна фаза</t>
  </si>
  <si>
    <t>Изградња вишенамјенског друштвеног објекта - спорткса сала</t>
  </si>
  <si>
    <t xml:space="preserve">Санација локалних саобраћајница - ударне рупе </t>
  </si>
  <si>
    <t>саобраћајни знакови</t>
  </si>
  <si>
    <t>СВЕУКУПНО</t>
  </si>
  <si>
    <t>Порез на промет производа и услуга</t>
  </si>
  <si>
    <t>БУЏЕТСКИ ПРИХОДИ И ПРИМИЦИ ЗА НЕФИНАНСИЈСКУ ИМОВИНУ - РЕБАЛАНС БУЏЕТА ОПШТИНЕ СТАНАРИ ЗА 2019. ГОДИНУ</t>
  </si>
  <si>
    <t>Буџет за 2019. годину</t>
  </si>
  <si>
    <t>Нацрт ребаланса буџета за 2019. годину</t>
  </si>
  <si>
    <t>Примици од узетих зајмова од банака</t>
  </si>
  <si>
    <t>РЕБАЛАНС БУЏЕТА ОПШТИНЕ СТАНАРИ ЗА 2019. ГОДИНУ - ОПШТИ ДИО</t>
  </si>
  <si>
    <t>БУЏЕТСКИ РАСХОДИ И ИЗДАЦИ ЗА НЕФИНАНСИЈСКУ ИМОВИНУ - РЕБАЛАНС БУЏЕТА ОПШТИНЕ СТАНАРИ ЗА 2019. ГОДИНУ</t>
  </si>
  <si>
    <t>РАСХОДИ И ИЗДАЦИ ПО ОРГАНИЗАЦИОНОЈ КЛАСИФИКАЦИЈИ -  РЕБАЛАНС БУЏЕТА 2019. ГОДИНЕ</t>
  </si>
  <si>
    <t>Приједлог Буџета 2019</t>
  </si>
  <si>
    <t>Извршење</t>
  </si>
  <si>
    <t>Ребаланс 2019</t>
  </si>
  <si>
    <t>закуп опреме за озвучење за заједање Скупштине и организовање других манифестација у току 2018. године</t>
  </si>
  <si>
    <t>рад општинске изборне комисије</t>
  </si>
  <si>
    <t>утрошка угља</t>
  </si>
  <si>
    <t>остале комуналне таксе и услуге - одвоз сдмећа</t>
  </si>
  <si>
    <t>вансудска поравнања</t>
  </si>
  <si>
    <t>изградња гараже за ватрогасна возила</t>
  </si>
  <si>
    <t>Расходи за отпремнине и једократне новчане помоћи (бруто)</t>
  </si>
  <si>
    <t>канцеларијски намјештај</t>
  </si>
  <si>
    <t>рачунарска опрема</t>
  </si>
  <si>
    <t>Расходи по основу организаовања манифестација</t>
  </si>
  <si>
    <t>УДРУЖЕЊА ОД ПОСЕБНОХ ИНТЕРЕСА</t>
  </si>
  <si>
    <t>Удружење ''Соко'' Митровићи</t>
  </si>
  <si>
    <t>Удружење ''Моја Радња'' Доња Радња</t>
  </si>
  <si>
    <t>Удружење ''Опстанак'' Рашковци</t>
  </si>
  <si>
    <t>ЈУ Народна библиотека Станари</t>
  </si>
  <si>
    <t>израда регулационог плана ''Копови''</t>
  </si>
  <si>
    <t>Изградња водовода - 2 фаза (пројекат примарне мреже, рјешавања имовинских односа)</t>
  </si>
  <si>
    <t>Изградња административног центра</t>
  </si>
  <si>
    <t>Изградња улице у насељу Станари према старој цркви</t>
  </si>
  <si>
    <t>Изградња и уређење пословне зоне ''Термоелектрана'' - монтажа челичних конструкција</t>
  </si>
  <si>
    <t>Изградња каналазиције</t>
  </si>
  <si>
    <t>Изградња и адаптација осталих објеката</t>
  </si>
  <si>
    <t>Трансфери између различитих јединица власти</t>
  </si>
  <si>
    <t>О с т а л и   и з д а ц и   и з   т р а н с а к ц и ј а   и з м е ђ у   и л и   у н у т а р   ј е д и н и ц а   в л а с т и</t>
  </si>
  <si>
    <t>Остали издаци из трансакција са ентитетом</t>
  </si>
  <si>
    <t>Буџет 2019</t>
  </si>
  <si>
    <t>Нацрт ребаланса буџета 2019. године</t>
  </si>
  <si>
    <t>СУФИЦИТ РАНИЈИХ ГОДИНА</t>
  </si>
  <si>
    <t>Остали издаци</t>
  </si>
  <si>
    <t>ТАБЕЛА ФИНАНСИРАЊА -  РЕБАЛАНС БУЏЕТА ЗА 2019. ГОДИНУ</t>
  </si>
  <si>
    <t>Буџет 2019. године</t>
  </si>
  <si>
    <t>ФУНКЦИОНАЛНА КЛАСИФИКАЦИЈА РАСХОДА -РЕБАЛАНС БУЏЕТА ЗА 2019. ГОДИНУ</t>
  </si>
  <si>
    <t>Буџет 2019.године</t>
  </si>
  <si>
    <t>Ребаланс буџета 2019. године</t>
  </si>
  <si>
    <t>Основни буџет 2019.година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</si>
</sst>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 ;[Red]\-#,##0\ "/>
    <numFmt numFmtId="165" formatCode="_-* #,##0.00\ _Д_и_н_._-;\-* #,##0.00\ _Д_и_н_._-;_-* &quot;-&quot;??\ _Д_и_н_._-;_-@_-"/>
    <numFmt numFmtId="166" formatCode="_-* #,##0.00\ _k_n_-;\-* #,##0.00\ _k_n_-;_-* &quot;-&quot;??\ _k_n_-;_-@_-"/>
    <numFmt numFmtId="167" formatCode="#,##0.00_ ;[Red]\-#,##0.00\ "/>
  </numFmts>
  <fonts count="9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b/>
      <i/>
      <sz val="11"/>
      <color theme="1"/>
      <name val="Cambria"/>
      <family val="1"/>
      <charset val="238"/>
    </font>
    <font>
      <b/>
      <sz val="10"/>
      <name val="Cambria"/>
      <family val="1"/>
      <charset val="238"/>
    </font>
    <font>
      <b/>
      <sz val="12"/>
      <color theme="1"/>
      <name val="Cambria"/>
      <family val="1"/>
      <charset val="238"/>
    </font>
    <font>
      <i/>
      <sz val="10"/>
      <color theme="1"/>
      <name val="Cambria"/>
      <family val="1"/>
      <charset val="238"/>
    </font>
    <font>
      <b/>
      <sz val="12"/>
      <color rgb="FF000000"/>
      <name val="Arial"/>
      <family val="2"/>
      <charset val="238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b/>
      <sz val="10"/>
      <color rgb="FFFF0000"/>
      <name val="Cambria"/>
      <family val="1"/>
      <charset val="238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sz val="10"/>
      <name val="Cambria"/>
      <family val="1"/>
    </font>
    <font>
      <i/>
      <sz val="10"/>
      <color theme="1"/>
      <name val="Cambria"/>
      <family val="1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0"/>
      <name val="Arial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b/>
      <sz val="12"/>
      <color theme="1"/>
      <name val="Cambria"/>
      <family val="2"/>
      <scheme val="major"/>
    </font>
    <font>
      <b/>
      <i/>
      <sz val="11"/>
      <color theme="1"/>
      <name val="Cambria"/>
      <family val="1"/>
      <charset val="238"/>
      <scheme val="major"/>
    </font>
    <font>
      <i/>
      <sz val="11"/>
      <color theme="1"/>
      <name val="Cambria"/>
      <family val="2"/>
      <scheme val="major"/>
    </font>
    <font>
      <sz val="11"/>
      <color theme="1"/>
      <name val="Cambria"/>
      <family val="2"/>
      <scheme val="major"/>
    </font>
    <font>
      <b/>
      <i/>
      <sz val="11"/>
      <color theme="1"/>
      <name val="Cambria"/>
      <family val="2"/>
      <scheme val="major"/>
    </font>
    <font>
      <b/>
      <i/>
      <sz val="1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b/>
      <sz val="11"/>
      <name val="Cambria"/>
      <family val="2"/>
      <scheme val="major"/>
    </font>
    <font>
      <sz val="11"/>
      <color indexed="8"/>
      <name val="Cambria"/>
      <family val="1"/>
      <charset val="238"/>
      <scheme val="major"/>
    </font>
    <font>
      <b/>
      <i/>
      <sz val="11"/>
      <color indexed="8"/>
      <name val="Cambria"/>
      <family val="1"/>
      <charset val="238"/>
      <scheme val="major"/>
    </font>
    <font>
      <b/>
      <sz val="11"/>
      <color theme="1"/>
      <name val="Cambria"/>
      <family val="2"/>
      <scheme val="major"/>
    </font>
    <font>
      <b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charset val="238"/>
      <scheme val="major"/>
    </font>
    <font>
      <sz val="11"/>
      <color rgb="FF000000"/>
      <name val="Cambria"/>
      <family val="1"/>
      <charset val="238"/>
      <scheme val="major"/>
    </font>
    <font>
      <b/>
      <sz val="11"/>
      <color rgb="FF000000"/>
      <name val="Cambria"/>
      <family val="1"/>
      <scheme val="major"/>
    </font>
    <font>
      <b/>
      <sz val="10"/>
      <color theme="1"/>
      <name val="Cambria"/>
      <family val="1"/>
      <charset val="238"/>
      <scheme val="major"/>
    </font>
    <font>
      <sz val="11"/>
      <name val="Cambria"/>
      <family val="2"/>
      <charset val="238"/>
      <scheme val="major"/>
    </font>
    <font>
      <i/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2"/>
      <charset val="238"/>
      <scheme val="major"/>
    </font>
    <font>
      <b/>
      <sz val="11"/>
      <name val="Cambria"/>
      <family val="1"/>
      <charset val="238"/>
      <scheme val="major"/>
    </font>
    <font>
      <b/>
      <i/>
      <sz val="11"/>
      <name val="Cambria"/>
      <family val="2"/>
      <scheme val="major"/>
    </font>
    <font>
      <i/>
      <sz val="11"/>
      <name val="Cambria"/>
      <family val="1"/>
      <charset val="238"/>
      <scheme val="major"/>
    </font>
    <font>
      <i/>
      <sz val="11"/>
      <name val="Cambria"/>
      <family val="2"/>
      <scheme val="major"/>
    </font>
    <font>
      <sz val="11"/>
      <color theme="1"/>
      <name val="Cambria"/>
      <family val="2"/>
      <charset val="238"/>
      <scheme val="major"/>
    </font>
    <font>
      <sz val="11"/>
      <name val="Cambria"/>
      <family val="2"/>
      <scheme val="major"/>
    </font>
    <font>
      <b/>
      <sz val="11"/>
      <color rgb="FF00000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1"/>
      <color rgb="FF000000"/>
      <name val="Cambria"/>
      <family val="2"/>
      <scheme val="major"/>
    </font>
    <font>
      <sz val="11"/>
      <color rgb="FF000000"/>
      <name val="Cambria"/>
      <family val="2"/>
      <scheme val="major"/>
    </font>
    <font>
      <b/>
      <sz val="10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0"/>
      <color theme="1"/>
      <name val="Cambria"/>
      <family val="2"/>
      <scheme val="major"/>
    </font>
    <font>
      <b/>
      <i/>
      <sz val="14"/>
      <color theme="1"/>
      <name val="Cambria"/>
      <family val="1"/>
      <charset val="238"/>
      <scheme val="major"/>
    </font>
    <font>
      <sz val="14"/>
      <color theme="1"/>
      <name val="Cambria"/>
      <family val="2"/>
      <scheme val="major"/>
    </font>
    <font>
      <b/>
      <sz val="14"/>
      <color theme="1"/>
      <name val="Cambria"/>
      <family val="1"/>
      <scheme val="major"/>
    </font>
    <font>
      <sz val="12"/>
      <color theme="1"/>
      <name val="Cambria"/>
      <family val="2"/>
      <scheme val="major"/>
    </font>
    <font>
      <b/>
      <i/>
      <sz val="10"/>
      <name val="Cambria"/>
      <family val="1"/>
      <charset val="238"/>
    </font>
    <font>
      <sz val="10"/>
      <name val="Cambria"/>
      <family val="1"/>
      <charset val="238"/>
    </font>
    <font>
      <b/>
      <sz val="11"/>
      <name val="Cambria"/>
      <family val="1"/>
      <charset val="238"/>
    </font>
    <font>
      <b/>
      <sz val="11"/>
      <color rgb="FFFF0000"/>
      <name val="Cambria"/>
      <family val="2"/>
      <charset val="238"/>
      <scheme val="major"/>
    </font>
    <font>
      <b/>
      <sz val="10"/>
      <color rgb="FFFF0000"/>
      <name val="Cambria"/>
      <family val="2"/>
      <charset val="238"/>
      <scheme val="major"/>
    </font>
    <font>
      <b/>
      <sz val="9"/>
      <name val="Cambria"/>
      <family val="1"/>
      <charset val="238"/>
      <scheme val="major"/>
    </font>
  </fonts>
  <fills count="5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5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8" borderId="0" applyNumberFormat="0" applyBorder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0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7" fillId="6" borderId="0" applyNumberFormat="0" applyBorder="0" applyAlignment="0" applyProtection="0"/>
    <xf numFmtId="0" fontId="8" fillId="23" borderId="6" applyNumberFormat="0" applyAlignment="0" applyProtection="0"/>
    <xf numFmtId="0" fontId="9" fillId="24" borderId="7" applyNumberFormat="0" applyAlignment="0" applyProtection="0"/>
    <xf numFmtId="165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13" borderId="6" applyNumberFormat="0" applyAlignment="0" applyProtection="0"/>
    <xf numFmtId="0" fontId="16" fillId="0" borderId="11" applyNumberFormat="0" applyFill="0" applyAlignment="0" applyProtection="0"/>
    <xf numFmtId="0" fontId="17" fillId="25" borderId="0" applyNumberFormat="0" applyBorder="0" applyAlignment="0" applyProtection="0"/>
    <xf numFmtId="0" fontId="1" fillId="26" borderId="12" applyNumberFormat="0" applyFont="0" applyAlignment="0" applyProtection="0"/>
    <xf numFmtId="0" fontId="18" fillId="23" borderId="13" applyNumberFormat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4" fillId="0" borderId="14" applyNumberFormat="0" applyFill="0" applyAlignment="0" applyProtection="0"/>
    <xf numFmtId="0" fontId="20" fillId="0" borderId="0" applyNumberFormat="0" applyFill="0" applyBorder="0" applyAlignment="0" applyProtection="0"/>
    <xf numFmtId="0" fontId="21" fillId="27" borderId="15" applyNumberFormat="0" applyAlignment="0" applyProtection="0"/>
    <xf numFmtId="0" fontId="41" fillId="0" borderId="0"/>
    <xf numFmtId="0" fontId="44" fillId="0" borderId="0"/>
  </cellStyleXfs>
  <cellXfs count="368">
    <xf numFmtId="0" fontId="0" fillId="0" borderId="0" xfId="0"/>
    <xf numFmtId="0" fontId="23" fillId="0" borderId="0" xfId="0" applyFont="1" applyAlignment="1">
      <alignment horizontal="center" vertical="center" wrapText="1"/>
    </xf>
    <xf numFmtId="0" fontId="23" fillId="28" borderId="1" xfId="0" applyFont="1" applyFill="1" applyBorder="1" applyAlignment="1">
      <alignment horizontal="center" vertical="center" wrapText="1"/>
    </xf>
    <xf numFmtId="164" fontId="23" fillId="28" borderId="1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Alignment="1">
      <alignment horizontal="center" vertical="center" wrapText="1"/>
    </xf>
    <xf numFmtId="0" fontId="24" fillId="29" borderId="0" xfId="0" applyFont="1" applyFill="1" applyAlignment="1">
      <alignment horizontal="center" vertical="center" wrapText="1"/>
    </xf>
    <xf numFmtId="0" fontId="24" fillId="29" borderId="0" xfId="0" applyFont="1" applyFill="1" applyAlignment="1">
      <alignment vertical="center" wrapText="1"/>
    </xf>
    <xf numFmtId="164" fontId="24" fillId="29" borderId="0" xfId="0" applyNumberFormat="1" applyFont="1" applyFill="1" applyAlignment="1">
      <alignment horizontal="right" vertical="center" wrapText="1"/>
    </xf>
    <xf numFmtId="0" fontId="24" fillId="0" borderId="0" xfId="0" applyFont="1" applyAlignment="1">
      <alignment horizontal="center" vertical="center" wrapText="1"/>
    </xf>
    <xf numFmtId="0" fontId="23" fillId="30" borderId="0" xfId="0" applyFont="1" applyFill="1" applyAlignment="1">
      <alignment horizontal="center" vertical="center" wrapText="1"/>
    </xf>
    <xf numFmtId="0" fontId="23" fillId="30" borderId="0" xfId="0" applyFont="1" applyFill="1" applyAlignment="1">
      <alignment vertical="center" wrapText="1"/>
    </xf>
    <xf numFmtId="164" fontId="24" fillId="30" borderId="0" xfId="0" applyNumberFormat="1" applyFont="1" applyFill="1" applyAlignment="1">
      <alignment horizontal="right" vertical="center" wrapText="1"/>
    </xf>
    <xf numFmtId="164" fontId="23" fillId="30" borderId="0" xfId="0" applyNumberFormat="1" applyFont="1" applyFill="1" applyAlignment="1">
      <alignment horizontal="right" vertical="center" wrapText="1"/>
    </xf>
    <xf numFmtId="0" fontId="25" fillId="0" borderId="0" xfId="0" applyFont="1" applyAlignment="1">
      <alignment horizontal="left" vertical="center" wrapText="1"/>
    </xf>
    <xf numFmtId="164" fontId="25" fillId="0" borderId="0" xfId="0" applyNumberFormat="1" applyFont="1" applyAlignment="1">
      <alignment horizontal="right" vertical="center" wrapText="1"/>
    </xf>
    <xf numFmtId="0" fontId="26" fillId="0" borderId="0" xfId="0" applyFont="1" applyAlignment="1">
      <alignment horizontal="left" vertical="center" wrapText="1"/>
    </xf>
    <xf numFmtId="164" fontId="23" fillId="0" borderId="0" xfId="0" applyNumberFormat="1" applyFont="1" applyAlignment="1">
      <alignment horizontal="right" vertical="center" wrapText="1"/>
    </xf>
    <xf numFmtId="0" fontId="25" fillId="0" borderId="0" xfId="0" applyFont="1" applyAlignment="1">
      <alignment horizontal="center" vertical="center" wrapText="1"/>
    </xf>
    <xf numFmtId="164" fontId="25" fillId="0" borderId="0" xfId="0" applyNumberFormat="1" applyFont="1" applyAlignment="1">
      <alignment horizontal="center" vertical="center" wrapText="1"/>
    </xf>
    <xf numFmtId="0" fontId="23" fillId="30" borderId="0" xfId="0" applyFont="1" applyFill="1" applyAlignment="1">
      <alignment horizontal="left" vertical="center" wrapText="1"/>
    </xf>
    <xf numFmtId="164" fontId="23" fillId="0" borderId="0" xfId="0" applyNumberFormat="1" applyFont="1" applyFill="1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164" fontId="26" fillId="0" borderId="0" xfId="0" applyNumberFormat="1" applyFont="1" applyAlignment="1">
      <alignment horizontal="right" vertical="center" wrapText="1"/>
    </xf>
    <xf numFmtId="0" fontId="24" fillId="0" borderId="0" xfId="0" applyFont="1" applyAlignment="1">
      <alignment horizontal="left" vertical="center" wrapText="1"/>
    </xf>
    <xf numFmtId="164" fontId="24" fillId="0" borderId="0" xfId="0" applyNumberFormat="1" applyFont="1" applyAlignment="1">
      <alignment horizontal="right" vertical="center" wrapText="1"/>
    </xf>
    <xf numFmtId="0" fontId="24" fillId="4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horizontal="left" vertical="center" wrapText="1"/>
    </xf>
    <xf numFmtId="164" fontId="23" fillId="29" borderId="0" xfId="0" applyNumberFormat="1" applyFont="1" applyFill="1" applyAlignment="1">
      <alignment horizontal="right" vertical="center" wrapText="1"/>
    </xf>
    <xf numFmtId="0" fontId="28" fillId="30" borderId="0" xfId="0" applyFont="1" applyFill="1" applyAlignment="1">
      <alignment horizontal="center" vertical="center" wrapText="1"/>
    </xf>
    <xf numFmtId="0" fontId="28" fillId="30" borderId="0" xfId="0" applyFont="1" applyFill="1" applyAlignment="1">
      <alignment horizontal="left" vertical="center" wrapText="1"/>
    </xf>
    <xf numFmtId="0" fontId="29" fillId="31" borderId="0" xfId="0" applyFont="1" applyFill="1" applyAlignment="1">
      <alignment horizontal="center" vertical="center" wrapText="1"/>
    </xf>
    <xf numFmtId="0" fontId="29" fillId="31" borderId="0" xfId="0" applyFont="1" applyFill="1" applyAlignment="1">
      <alignment horizontal="left" vertical="center" wrapText="1"/>
    </xf>
    <xf numFmtId="164" fontId="29" fillId="31" borderId="0" xfId="0" applyNumberFormat="1" applyFont="1" applyFill="1" applyAlignment="1">
      <alignment horizontal="right" vertical="center" wrapText="1"/>
    </xf>
    <xf numFmtId="164" fontId="23" fillId="31" borderId="0" xfId="0" applyNumberFormat="1" applyFont="1" applyFill="1" applyAlignment="1">
      <alignment horizontal="right" vertical="center" wrapText="1"/>
    </xf>
    <xf numFmtId="0" fontId="23" fillId="0" borderId="0" xfId="0" applyFont="1" applyFill="1" applyBorder="1" applyAlignment="1">
      <alignment vertical="center" wrapText="1"/>
    </xf>
    <xf numFmtId="164" fontId="24" fillId="0" borderId="0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164" fontId="25" fillId="0" borderId="0" xfId="0" applyNumberFormat="1" applyFont="1" applyFill="1" applyBorder="1" applyAlignment="1">
      <alignment horizontal="right" vertical="center" wrapText="1"/>
    </xf>
    <xf numFmtId="164" fontId="23" fillId="0" borderId="0" xfId="0" applyNumberFormat="1" applyFont="1" applyFill="1" applyBorder="1" applyAlignment="1">
      <alignment horizontal="righ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164" fontId="29" fillId="0" borderId="0" xfId="0" applyNumberFormat="1" applyFont="1" applyFill="1" applyBorder="1" applyAlignment="1">
      <alignment horizontal="right" vertical="center" wrapText="1"/>
    </xf>
    <xf numFmtId="0" fontId="25" fillId="0" borderId="0" xfId="0" applyFont="1" applyFill="1" applyAlignment="1">
      <alignment horizontal="center"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164" fontId="23" fillId="4" borderId="0" xfId="0" applyNumberFormat="1" applyFont="1" applyFill="1" applyAlignment="1">
      <alignment horizontal="right" vertical="center" wrapText="1"/>
    </xf>
    <xf numFmtId="0" fontId="26" fillId="0" borderId="0" xfId="0" applyFont="1" applyFill="1" applyAlignment="1">
      <alignment horizontal="left" vertical="center" wrapText="1"/>
    </xf>
    <xf numFmtId="0" fontId="23" fillId="32" borderId="0" xfId="0" applyFont="1" applyFill="1" applyAlignment="1">
      <alignment horizontal="left" vertical="center" wrapText="1"/>
    </xf>
    <xf numFmtId="164" fontId="23" fillId="32" borderId="0" xfId="0" applyNumberFormat="1" applyFont="1" applyFill="1" applyAlignment="1">
      <alignment horizontal="right" vertical="center" wrapText="1"/>
    </xf>
    <xf numFmtId="164" fontId="29" fillId="29" borderId="0" xfId="0" applyNumberFormat="1" applyFont="1" applyFill="1" applyAlignment="1">
      <alignment horizontal="right" vertical="center" wrapText="1"/>
    </xf>
    <xf numFmtId="0" fontId="23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center" vertical="center" wrapText="1"/>
    </xf>
    <xf numFmtId="164" fontId="25" fillId="0" borderId="0" xfId="0" applyNumberFormat="1" applyFont="1" applyFill="1" applyAlignment="1">
      <alignment horizontal="right" vertical="center" wrapText="1"/>
    </xf>
    <xf numFmtId="0" fontId="25" fillId="0" borderId="0" xfId="0" applyFont="1" applyFill="1" applyAlignment="1">
      <alignment horizontal="left" vertical="center" wrapText="1"/>
    </xf>
    <xf numFmtId="0" fontId="23" fillId="3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left" vertical="center" wrapText="1"/>
    </xf>
    <xf numFmtId="164" fontId="23" fillId="3" borderId="0" xfId="0" applyNumberFormat="1" applyFont="1" applyFill="1" applyAlignment="1">
      <alignment horizontal="right" vertical="center" wrapText="1"/>
    </xf>
    <xf numFmtId="0" fontId="28" fillId="33" borderId="0" xfId="0" applyFont="1" applyFill="1" applyAlignment="1">
      <alignment horizontal="center" vertical="center" wrapText="1"/>
    </xf>
    <xf numFmtId="0" fontId="28" fillId="33" borderId="0" xfId="0" applyFont="1" applyFill="1" applyAlignment="1">
      <alignment vertical="center" wrapText="1"/>
    </xf>
    <xf numFmtId="164" fontId="28" fillId="33" borderId="0" xfId="0" applyNumberFormat="1" applyFont="1" applyFill="1" applyAlignment="1">
      <alignment horizontal="right" vertical="center" wrapText="1"/>
    </xf>
    <xf numFmtId="0" fontId="25" fillId="0" borderId="0" xfId="0" applyFont="1" applyFill="1" applyAlignment="1">
      <alignment vertical="center" wrapText="1"/>
    </xf>
    <xf numFmtId="0" fontId="23" fillId="34" borderId="0" xfId="0" applyFont="1" applyFill="1" applyAlignment="1">
      <alignment horizontal="center" vertical="center" wrapText="1"/>
    </xf>
    <xf numFmtId="0" fontId="23" fillId="34" borderId="0" xfId="0" applyFont="1" applyFill="1" applyAlignment="1">
      <alignment horizontal="left" vertical="center" wrapText="1"/>
    </xf>
    <xf numFmtId="164" fontId="23" fillId="34" borderId="0" xfId="0" applyNumberFormat="1" applyFont="1" applyFill="1" applyAlignment="1">
      <alignment horizontal="right" vertical="center" wrapText="1"/>
    </xf>
    <xf numFmtId="0" fontId="28" fillId="32" borderId="0" xfId="0" applyFont="1" applyFill="1" applyAlignment="1">
      <alignment horizontal="center" vertical="center" wrapText="1"/>
    </xf>
    <xf numFmtId="0" fontId="28" fillId="32" borderId="0" xfId="0" applyFont="1" applyFill="1" applyAlignment="1">
      <alignment horizontal="left" vertical="center" wrapText="1"/>
    </xf>
    <xf numFmtId="164" fontId="28" fillId="32" borderId="0" xfId="0" applyNumberFormat="1" applyFont="1" applyFill="1" applyAlignment="1">
      <alignment horizontal="right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164" fontId="30" fillId="0" borderId="0" xfId="0" applyNumberFormat="1" applyFont="1" applyAlignment="1">
      <alignment horizontal="right" vertical="center" wrapText="1"/>
    </xf>
    <xf numFmtId="0" fontId="23" fillId="32" borderId="0" xfId="0" applyFont="1" applyFill="1" applyAlignment="1">
      <alignment horizontal="center" vertical="center" wrapText="1"/>
    </xf>
    <xf numFmtId="0" fontId="25" fillId="35" borderId="0" xfId="0" applyFont="1" applyFill="1" applyBorder="1" applyAlignment="1">
      <alignment horizontal="center" vertical="center" wrapText="1"/>
    </xf>
    <xf numFmtId="0" fontId="23" fillId="35" borderId="0" xfId="0" applyFont="1" applyFill="1" applyBorder="1" applyAlignment="1">
      <alignment horizontal="left" vertical="center" wrapText="1"/>
    </xf>
    <xf numFmtId="164" fontId="25" fillId="35" borderId="0" xfId="0" applyNumberFormat="1" applyFont="1" applyFill="1" applyBorder="1" applyAlignment="1">
      <alignment horizontal="right" vertical="center" wrapText="1"/>
    </xf>
    <xf numFmtId="0" fontId="23" fillId="31" borderId="0" xfId="0" applyFont="1" applyFill="1" applyAlignment="1">
      <alignment horizontal="center" vertical="center" wrapText="1"/>
    </xf>
    <xf numFmtId="0" fontId="23" fillId="31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vertical="center" wrapText="1"/>
    </xf>
    <xf numFmtId="0" fontId="32" fillId="33" borderId="20" xfId="0" applyFont="1" applyFill="1" applyBorder="1" applyAlignment="1">
      <alignment horizontal="center" vertical="center" wrapText="1"/>
    </xf>
    <xf numFmtId="164" fontId="32" fillId="33" borderId="21" xfId="0" applyNumberFormat="1" applyFont="1" applyFill="1" applyBorder="1" applyAlignment="1">
      <alignment horizontal="center" vertical="center" wrapText="1"/>
    </xf>
    <xf numFmtId="0" fontId="32" fillId="33" borderId="20" xfId="0" applyFont="1" applyFill="1" applyBorder="1" applyAlignment="1">
      <alignment horizontal="center" vertical="top"/>
    </xf>
    <xf numFmtId="164" fontId="32" fillId="33" borderId="21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left" vertical="top"/>
    </xf>
    <xf numFmtId="164" fontId="32" fillId="0" borderId="21" xfId="0" applyNumberFormat="1" applyFont="1" applyBorder="1" applyAlignment="1">
      <alignment horizontal="right" vertical="center"/>
    </xf>
    <xf numFmtId="0" fontId="0" fillId="36" borderId="22" xfId="0" applyFill="1" applyBorder="1" applyAlignment="1">
      <alignment horizontal="center" vertical="center" wrapText="1"/>
    </xf>
    <xf numFmtId="0" fontId="0" fillId="36" borderId="23" xfId="0" applyFill="1" applyBorder="1" applyAlignment="1">
      <alignment horizontal="center" vertical="center" wrapText="1"/>
    </xf>
    <xf numFmtId="0" fontId="32" fillId="36" borderId="23" xfId="0" applyFont="1" applyFill="1" applyBorder="1" applyAlignment="1">
      <alignment horizontal="left" vertical="top"/>
    </xf>
    <xf numFmtId="164" fontId="32" fillId="36" borderId="24" xfId="0" applyNumberFormat="1" applyFont="1" applyFill="1" applyBorder="1" applyAlignment="1">
      <alignment horizontal="right" vertical="center"/>
    </xf>
    <xf numFmtId="164" fontId="25" fillId="31" borderId="0" xfId="0" applyNumberFormat="1" applyFont="1" applyFill="1" applyAlignment="1">
      <alignment horizontal="right" vertical="center" wrapText="1"/>
    </xf>
    <xf numFmtId="164" fontId="25" fillId="33" borderId="0" xfId="0" applyNumberFormat="1" applyFont="1" applyFill="1" applyAlignment="1">
      <alignment horizontal="right" vertical="center" wrapText="1"/>
    </xf>
    <xf numFmtId="164" fontId="25" fillId="30" borderId="0" xfId="0" applyNumberFormat="1" applyFont="1" applyFill="1" applyAlignment="1">
      <alignment horizontal="right" vertical="center" wrapText="1"/>
    </xf>
    <xf numFmtId="164" fontId="25" fillId="35" borderId="0" xfId="0" applyNumberFormat="1" applyFont="1" applyFill="1" applyAlignment="1">
      <alignment horizontal="right" vertical="center" wrapText="1"/>
    </xf>
    <xf numFmtId="164" fontId="25" fillId="32" borderId="0" xfId="0" applyNumberFormat="1" applyFont="1" applyFill="1" applyAlignment="1">
      <alignment horizontal="right" vertical="center" wrapText="1"/>
    </xf>
    <xf numFmtId="164" fontId="25" fillId="4" borderId="0" xfId="0" applyNumberFormat="1" applyFont="1" applyFill="1" applyAlignment="1">
      <alignment horizontal="right" vertical="center" wrapText="1"/>
    </xf>
    <xf numFmtId="164" fontId="25" fillId="34" borderId="0" xfId="0" applyNumberFormat="1" applyFont="1" applyFill="1" applyAlignment="1">
      <alignment horizontal="right" vertical="center" wrapText="1"/>
    </xf>
    <xf numFmtId="164" fontId="25" fillId="29" borderId="0" xfId="0" applyNumberFormat="1" applyFont="1" applyFill="1" applyAlignment="1">
      <alignment horizontal="right" vertical="center" wrapText="1"/>
    </xf>
    <xf numFmtId="164" fontId="0" fillId="0" borderId="0" xfId="0" applyNumberFormat="1"/>
    <xf numFmtId="164" fontId="34" fillId="0" borderId="0" xfId="0" applyNumberFormat="1" applyFont="1" applyAlignment="1">
      <alignment horizontal="right" vertical="center" wrapText="1"/>
    </xf>
    <xf numFmtId="164" fontId="23" fillId="28" borderId="2" xfId="0" applyNumberFormat="1" applyFont="1" applyFill="1" applyBorder="1" applyAlignment="1">
      <alignment horizontal="center" vertical="center" wrapText="1"/>
    </xf>
    <xf numFmtId="164" fontId="23" fillId="28" borderId="0" xfId="0" applyNumberFormat="1" applyFont="1" applyFill="1" applyAlignment="1">
      <alignment horizontal="right" vertical="center" wrapText="1"/>
    </xf>
    <xf numFmtId="164" fontId="25" fillId="28" borderId="0" xfId="0" applyNumberFormat="1" applyFont="1" applyFill="1" applyAlignment="1">
      <alignment horizontal="right" vertical="center" wrapText="1"/>
    </xf>
    <xf numFmtId="164" fontId="24" fillId="37" borderId="0" xfId="0" applyNumberFormat="1" applyFont="1" applyFill="1" applyAlignment="1">
      <alignment horizontal="right" vertical="center" wrapText="1"/>
    </xf>
    <xf numFmtId="164" fontId="24" fillId="31" borderId="0" xfId="0" applyNumberFormat="1" applyFont="1" applyFill="1" applyAlignment="1">
      <alignment horizontal="right" vertical="center" wrapText="1"/>
    </xf>
    <xf numFmtId="164" fontId="24" fillId="32" borderId="0" xfId="0" applyNumberFormat="1" applyFont="1" applyFill="1" applyAlignment="1">
      <alignment horizontal="right" vertical="center" wrapText="1"/>
    </xf>
    <xf numFmtId="0" fontId="26" fillId="30" borderId="0" xfId="0" applyFont="1" applyFill="1" applyAlignment="1">
      <alignment horizontal="left" vertical="center" wrapText="1"/>
    </xf>
    <xf numFmtId="164" fontId="30" fillId="28" borderId="0" xfId="0" applyNumberFormat="1" applyFont="1" applyFill="1" applyAlignment="1">
      <alignment horizontal="right" vertical="center" wrapText="1"/>
    </xf>
    <xf numFmtId="0" fontId="23" fillId="28" borderId="0" xfId="0" applyFont="1" applyFill="1" applyAlignment="1">
      <alignment vertical="center" wrapText="1"/>
    </xf>
    <xf numFmtId="164" fontId="35" fillId="37" borderId="0" xfId="0" applyNumberFormat="1" applyFont="1" applyFill="1" applyAlignment="1">
      <alignment horizontal="right" vertical="center" wrapText="1"/>
    </xf>
    <xf numFmtId="164" fontId="36" fillId="37" borderId="0" xfId="0" applyNumberFormat="1" applyFont="1" applyFill="1" applyAlignment="1">
      <alignment horizontal="right" vertical="center" wrapText="1"/>
    </xf>
    <xf numFmtId="164" fontId="37" fillId="0" borderId="0" xfId="0" applyNumberFormat="1" applyFont="1" applyAlignment="1">
      <alignment horizontal="right" vertical="center" wrapText="1"/>
    </xf>
    <xf numFmtId="164" fontId="25" fillId="37" borderId="0" xfId="0" applyNumberFormat="1" applyFont="1" applyFill="1" applyAlignment="1">
      <alignment horizontal="right" vertical="center" wrapText="1"/>
    </xf>
    <xf numFmtId="0" fontId="37" fillId="0" borderId="0" xfId="0" applyFont="1" applyAlignment="1">
      <alignment horizontal="right" vertical="center" wrapText="1"/>
    </xf>
    <xf numFmtId="164" fontId="38" fillId="0" borderId="0" xfId="0" applyNumberFormat="1" applyFont="1" applyAlignment="1">
      <alignment horizontal="right" vertical="center" wrapText="1"/>
    </xf>
    <xf numFmtId="164" fontId="39" fillId="0" borderId="0" xfId="0" applyNumberFormat="1" applyFont="1" applyAlignment="1">
      <alignment horizontal="right" vertical="center" wrapText="1"/>
    </xf>
    <xf numFmtId="164" fontId="28" fillId="30" borderId="0" xfId="0" applyNumberFormat="1" applyFont="1" applyFill="1" applyAlignment="1">
      <alignment horizontal="right" vertical="center" wrapText="1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0" fontId="36" fillId="30" borderId="0" xfId="0" applyFont="1" applyFill="1" applyAlignment="1">
      <alignment horizontal="center" vertical="center" wrapText="1"/>
    </xf>
    <xf numFmtId="0" fontId="36" fillId="30" borderId="0" xfId="0" applyFont="1" applyFill="1" applyAlignment="1">
      <alignment horizontal="left" vertical="center" wrapText="1"/>
    </xf>
    <xf numFmtId="164" fontId="36" fillId="30" borderId="0" xfId="0" applyNumberFormat="1" applyFont="1" applyFill="1" applyAlignment="1">
      <alignment horizontal="right" vertical="center" wrapText="1"/>
    </xf>
    <xf numFmtId="164" fontId="23" fillId="33" borderId="0" xfId="0" applyNumberFormat="1" applyFont="1" applyFill="1" applyAlignment="1">
      <alignment horizontal="right" vertical="center" wrapText="1"/>
    </xf>
    <xf numFmtId="167" fontId="0" fillId="0" borderId="0" xfId="0" applyNumberFormat="1"/>
    <xf numFmtId="0" fontId="43" fillId="0" borderId="0" xfId="48" applyFont="1" applyFill="1" applyAlignment="1" applyProtection="1">
      <alignment horizontal="center"/>
    </xf>
    <xf numFmtId="0" fontId="43" fillId="0" borderId="0" xfId="49" applyFont="1" applyBorder="1" applyAlignment="1">
      <alignment horizontal="left" wrapText="1"/>
    </xf>
    <xf numFmtId="0" fontId="46" fillId="0" borderId="1" xfId="0" applyFont="1" applyFill="1" applyBorder="1" applyAlignment="1" applyProtection="1">
      <alignment horizontal="center" vertical="center" wrapText="1"/>
    </xf>
    <xf numFmtId="0" fontId="43" fillId="0" borderId="1" xfId="49" applyFont="1" applyBorder="1" applyAlignment="1">
      <alignment horizontal="center" wrapText="1"/>
    </xf>
    <xf numFmtId="0" fontId="42" fillId="0" borderId="25" xfId="0" applyFont="1" applyBorder="1" applyAlignment="1">
      <alignment horizontal="center"/>
    </xf>
    <xf numFmtId="49" fontId="0" fillId="0" borderId="25" xfId="0" applyNumberFormat="1" applyBorder="1" applyAlignment="1">
      <alignment horizontal="center"/>
    </xf>
    <xf numFmtId="0" fontId="0" fillId="0" borderId="26" xfId="0" applyBorder="1"/>
    <xf numFmtId="4" fontId="0" fillId="0" borderId="26" xfId="0" applyNumberFormat="1" applyBorder="1"/>
    <xf numFmtId="0" fontId="46" fillId="0" borderId="26" xfId="0" applyFont="1" applyFill="1" applyBorder="1" applyAlignment="1" applyProtection="1">
      <alignment horizontal="center" vertical="center" wrapText="1"/>
    </xf>
    <xf numFmtId="4" fontId="47" fillId="0" borderId="26" xfId="0" applyNumberFormat="1" applyFont="1" applyBorder="1"/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164" fontId="36" fillId="0" borderId="0" xfId="0" applyNumberFormat="1" applyFont="1" applyAlignment="1">
      <alignment horizontal="right" vertical="center" wrapText="1"/>
    </xf>
    <xf numFmtId="0" fontId="23" fillId="38" borderId="0" xfId="0" applyFont="1" applyFill="1" applyAlignment="1">
      <alignment horizontal="left" vertical="center" wrapText="1"/>
    </xf>
    <xf numFmtId="164" fontId="23" fillId="38" borderId="0" xfId="0" applyNumberFormat="1" applyFont="1" applyFill="1" applyAlignment="1">
      <alignment horizontal="right" vertical="center" wrapText="1"/>
    </xf>
    <xf numFmtId="164" fontId="24" fillId="38" borderId="0" xfId="0" applyNumberFormat="1" applyFont="1" applyFill="1" applyAlignment="1">
      <alignment horizontal="right" vertical="center" wrapText="1"/>
    </xf>
    <xf numFmtId="164" fontId="25" fillId="38" borderId="0" xfId="0" applyNumberFormat="1" applyFont="1" applyFill="1" applyAlignment="1">
      <alignment horizontal="right" vertical="center" wrapText="1"/>
    </xf>
    <xf numFmtId="0" fontId="23" fillId="38" borderId="0" xfId="0" applyFont="1" applyFill="1" applyAlignment="1">
      <alignment horizontal="center" vertical="center" wrapText="1"/>
    </xf>
    <xf numFmtId="0" fontId="48" fillId="0" borderId="0" xfId="0" applyFont="1"/>
    <xf numFmtId="0" fontId="50" fillId="3" borderId="26" xfId="0" applyFont="1" applyFill="1" applyBorder="1" applyAlignment="1">
      <alignment horizontal="center" vertical="center"/>
    </xf>
    <xf numFmtId="164" fontId="51" fillId="3" borderId="26" xfId="0" applyNumberFormat="1" applyFont="1" applyFill="1" applyBorder="1" applyAlignment="1">
      <alignment horizontal="center" vertical="center" wrapText="1"/>
    </xf>
    <xf numFmtId="0" fontId="52" fillId="39" borderId="26" xfId="0" applyFont="1" applyFill="1" applyBorder="1" applyAlignment="1">
      <alignment horizontal="center" vertical="center"/>
    </xf>
    <xf numFmtId="164" fontId="53" fillId="39" borderId="26" xfId="0" applyNumberFormat="1" applyFont="1" applyFill="1" applyBorder="1" applyAlignment="1">
      <alignment horizontal="center" vertical="center"/>
    </xf>
    <xf numFmtId="0" fontId="48" fillId="0" borderId="26" xfId="0" applyFont="1" applyBorder="1"/>
    <xf numFmtId="0" fontId="52" fillId="0" borderId="26" xfId="0" applyFont="1" applyBorder="1" applyAlignment="1">
      <alignment horizontal="left" vertical="center"/>
    </xf>
    <xf numFmtId="164" fontId="54" fillId="0" borderId="26" xfId="0" applyNumberFormat="1" applyFont="1" applyBorder="1"/>
    <xf numFmtId="0" fontId="52" fillId="40" borderId="26" xfId="0" applyFont="1" applyFill="1" applyBorder="1" applyAlignment="1">
      <alignment horizontal="left" vertical="center"/>
    </xf>
    <xf numFmtId="0" fontId="52" fillId="40" borderId="26" xfId="0" applyFont="1" applyFill="1" applyBorder="1"/>
    <xf numFmtId="164" fontId="55" fillId="40" borderId="26" xfId="0" applyNumberFormat="1" applyFont="1" applyFill="1" applyBorder="1"/>
    <xf numFmtId="0" fontId="52" fillId="41" borderId="26" xfId="0" applyFont="1" applyFill="1" applyBorder="1" applyAlignment="1">
      <alignment horizontal="center" vertical="center"/>
    </xf>
    <xf numFmtId="0" fontId="52" fillId="41" borderId="26" xfId="0" applyFont="1" applyFill="1" applyBorder="1"/>
    <xf numFmtId="164" fontId="55" fillId="42" borderId="26" xfId="0" applyNumberFormat="1" applyFont="1" applyFill="1" applyBorder="1"/>
    <xf numFmtId="0" fontId="48" fillId="0" borderId="26" xfId="0" applyFont="1" applyBorder="1" applyAlignment="1">
      <alignment horizontal="center" vertical="center"/>
    </xf>
    <xf numFmtId="0" fontId="48" fillId="0" borderId="26" xfId="0" applyFont="1" applyBorder="1" applyAlignment="1">
      <alignment wrapText="1"/>
    </xf>
    <xf numFmtId="164" fontId="53" fillId="0" borderId="26" xfId="0" applyNumberFormat="1" applyFont="1" applyFill="1" applyBorder="1"/>
    <xf numFmtId="0" fontId="48" fillId="0" borderId="26" xfId="0" applyFont="1" applyFill="1" applyBorder="1" applyAlignment="1">
      <alignment horizontal="center" vertical="center"/>
    </xf>
    <xf numFmtId="0" fontId="48" fillId="0" borderId="26" xfId="0" applyFont="1" applyFill="1" applyBorder="1"/>
    <xf numFmtId="0" fontId="54" fillId="37" borderId="26" xfId="0" applyFont="1" applyFill="1" applyBorder="1" applyAlignment="1">
      <alignment horizontal="center" vertical="center"/>
    </xf>
    <xf numFmtId="0" fontId="54" fillId="37" borderId="26" xfId="0" applyFont="1" applyFill="1" applyBorder="1"/>
    <xf numFmtId="164" fontId="53" fillId="37" borderId="26" xfId="0" applyNumberFormat="1" applyFont="1" applyFill="1" applyBorder="1"/>
    <xf numFmtId="0" fontId="48" fillId="0" borderId="26" xfId="0" applyFont="1" applyFill="1" applyBorder="1" applyAlignment="1">
      <alignment wrapText="1"/>
    </xf>
    <xf numFmtId="0" fontId="52" fillId="43" borderId="26" xfId="0" applyFont="1" applyFill="1" applyBorder="1" applyAlignment="1">
      <alignment horizontal="left" vertical="center"/>
    </xf>
    <xf numFmtId="0" fontId="52" fillId="43" borderId="26" xfId="0" applyFont="1" applyFill="1" applyBorder="1"/>
    <xf numFmtId="164" fontId="55" fillId="43" borderId="26" xfId="0" applyNumberFormat="1" applyFont="1" applyFill="1" applyBorder="1"/>
    <xf numFmtId="164" fontId="55" fillId="4" borderId="26" xfId="0" applyNumberFormat="1" applyFont="1" applyFill="1" applyBorder="1"/>
    <xf numFmtId="0" fontId="52" fillId="0" borderId="26" xfId="0" applyFont="1" applyBorder="1" applyAlignment="1">
      <alignment horizontal="left" vertical="center" wrapText="1"/>
    </xf>
    <xf numFmtId="0" fontId="56" fillId="40" borderId="26" xfId="0" applyFont="1" applyFill="1" applyBorder="1" applyAlignment="1">
      <alignment horizontal="left"/>
    </xf>
    <xf numFmtId="0" fontId="57" fillId="40" borderId="26" xfId="0" applyFont="1" applyFill="1" applyBorder="1"/>
    <xf numFmtId="0" fontId="56" fillId="40" borderId="26" xfId="0" applyFont="1" applyFill="1" applyBorder="1"/>
    <xf numFmtId="164" fontId="58" fillId="40" borderId="26" xfId="0" applyNumberFormat="1" applyFont="1" applyFill="1" applyBorder="1"/>
    <xf numFmtId="0" fontId="52" fillId="42" borderId="26" xfId="0" applyFont="1" applyFill="1" applyBorder="1" applyAlignment="1">
      <alignment horizontal="center" vertical="center"/>
    </xf>
    <xf numFmtId="0" fontId="52" fillId="42" borderId="26" xfId="0" applyFont="1" applyFill="1" applyBorder="1"/>
    <xf numFmtId="0" fontId="52" fillId="42" borderId="26" xfId="0" applyFont="1" applyFill="1" applyBorder="1" applyAlignment="1">
      <alignment wrapText="1"/>
    </xf>
    <xf numFmtId="49" fontId="59" fillId="0" borderId="26" xfId="2" applyNumberFormat="1" applyFont="1" applyFill="1" applyBorder="1" applyAlignment="1">
      <alignment horizontal="left" wrapText="1"/>
    </xf>
    <xf numFmtId="49" fontId="60" fillId="42" borderId="26" xfId="2" applyNumberFormat="1" applyFont="1" applyFill="1" applyBorder="1" applyAlignment="1">
      <alignment horizontal="left" wrapText="1"/>
    </xf>
    <xf numFmtId="49" fontId="57" fillId="0" borderId="26" xfId="2" applyNumberFormat="1" applyFont="1" applyFill="1" applyBorder="1" applyAlignment="1">
      <alignment horizontal="left" wrapText="1"/>
    </xf>
    <xf numFmtId="0" fontId="61" fillId="42" borderId="26" xfId="0" applyFont="1" applyFill="1" applyBorder="1"/>
    <xf numFmtId="164" fontId="61" fillId="42" borderId="26" xfId="0" applyNumberFormat="1" applyFont="1" applyFill="1" applyBorder="1"/>
    <xf numFmtId="0" fontId="62" fillId="42" borderId="26" xfId="0" applyFont="1" applyFill="1" applyBorder="1" applyAlignment="1">
      <alignment horizontal="center" vertical="center"/>
    </xf>
    <xf numFmtId="0" fontId="48" fillId="42" borderId="26" xfId="0" applyFont="1" applyFill="1" applyBorder="1"/>
    <xf numFmtId="0" fontId="62" fillId="42" borderId="26" xfId="0" applyFont="1" applyFill="1" applyBorder="1"/>
    <xf numFmtId="0" fontId="63" fillId="42" borderId="26" xfId="1" applyFont="1" applyFill="1" applyBorder="1" applyAlignment="1">
      <alignment horizontal="left" vertical="top" wrapText="1"/>
    </xf>
    <xf numFmtId="0" fontId="64" fillId="0" borderId="26" xfId="1" applyFont="1" applyFill="1" applyBorder="1" applyAlignment="1">
      <alignment horizontal="left" vertical="top" wrapText="1"/>
    </xf>
    <xf numFmtId="0" fontId="62" fillId="29" borderId="26" xfId="0" applyFont="1" applyFill="1" applyBorder="1" applyAlignment="1">
      <alignment horizontal="center" vertical="center"/>
    </xf>
    <xf numFmtId="0" fontId="48" fillId="29" borderId="26" xfId="0" applyFont="1" applyFill="1" applyBorder="1"/>
    <xf numFmtId="0" fontId="65" fillId="29" borderId="26" xfId="1" applyFont="1" applyFill="1" applyBorder="1" applyAlignment="1">
      <alignment horizontal="left" vertical="top" wrapText="1"/>
    </xf>
    <xf numFmtId="164" fontId="61" fillId="29" borderId="26" xfId="0" applyNumberFormat="1" applyFont="1" applyFill="1" applyBorder="1"/>
    <xf numFmtId="164" fontId="54" fillId="0" borderId="26" xfId="0" applyNumberFormat="1" applyFont="1" applyFill="1" applyBorder="1"/>
    <xf numFmtId="0" fontId="52" fillId="44" borderId="26" xfId="0" applyFont="1" applyFill="1" applyBorder="1"/>
    <xf numFmtId="164" fontId="55" fillId="44" borderId="26" xfId="0" applyNumberFormat="1" applyFont="1" applyFill="1" applyBorder="1"/>
    <xf numFmtId="0" fontId="66" fillId="0" borderId="26" xfId="0" applyFont="1" applyFill="1" applyBorder="1" applyAlignment="1">
      <alignment horizontal="right" vertical="center"/>
    </xf>
    <xf numFmtId="0" fontId="52" fillId="0" borderId="26" xfId="0" applyFont="1" applyFill="1" applyBorder="1"/>
    <xf numFmtId="0" fontId="66" fillId="0" borderId="26" xfId="0" applyFont="1" applyFill="1" applyBorder="1"/>
    <xf numFmtId="0" fontId="49" fillId="43" borderId="26" xfId="0" applyFont="1" applyFill="1" applyBorder="1" applyAlignment="1">
      <alignment wrapText="1"/>
    </xf>
    <xf numFmtId="164" fontId="61" fillId="43" borderId="26" xfId="0" applyNumberFormat="1" applyFont="1" applyFill="1" applyBorder="1"/>
    <xf numFmtId="0" fontId="48" fillId="44" borderId="26" xfId="0" applyFont="1" applyFill="1" applyBorder="1"/>
    <xf numFmtId="0" fontId="52" fillId="44" borderId="26" xfId="0" applyFont="1" applyFill="1" applyBorder="1" applyAlignment="1">
      <alignment horizontal="left" vertical="center"/>
    </xf>
    <xf numFmtId="0" fontId="52" fillId="42" borderId="26" xfId="0" applyFont="1" applyFill="1" applyBorder="1" applyAlignment="1">
      <alignment horizontal="left" vertical="center"/>
    </xf>
    <xf numFmtId="0" fontId="48" fillId="0" borderId="26" xfId="0" applyFont="1" applyFill="1" applyBorder="1" applyAlignment="1">
      <alignment horizontal="left" vertical="center"/>
    </xf>
    <xf numFmtId="0" fontId="48" fillId="0" borderId="26" xfId="0" applyFont="1" applyFill="1" applyBorder="1" applyAlignment="1">
      <alignment horizontal="left" vertical="center" wrapText="1"/>
    </xf>
    <xf numFmtId="164" fontId="48" fillId="0" borderId="0" xfId="0" applyNumberFormat="1" applyFont="1"/>
    <xf numFmtId="0" fontId="52" fillId="0" borderId="26" xfId="0" applyFont="1" applyBorder="1" applyAlignment="1">
      <alignment horizontal="center" vertical="center"/>
    </xf>
    <xf numFmtId="0" fontId="52" fillId="2" borderId="26" xfId="0" applyFont="1" applyFill="1" applyBorder="1"/>
    <xf numFmtId="164" fontId="55" fillId="2" borderId="26" xfId="0" applyNumberFormat="1" applyFont="1" applyFill="1" applyBorder="1"/>
    <xf numFmtId="0" fontId="52" fillId="2" borderId="26" xfId="0" applyFont="1" applyFill="1" applyBorder="1" applyAlignment="1">
      <alignment horizontal="center" vertical="center"/>
    </xf>
    <xf numFmtId="0" fontId="52" fillId="2" borderId="26" xfId="0" applyFont="1" applyFill="1" applyBorder="1" applyAlignment="1">
      <alignment horizontal="left" vertical="center"/>
    </xf>
    <xf numFmtId="164" fontId="55" fillId="2" borderId="26" xfId="0" applyNumberFormat="1" applyFont="1" applyFill="1" applyBorder="1" applyAlignment="1">
      <alignment horizontal="right" vertical="center"/>
    </xf>
    <xf numFmtId="0" fontId="66" fillId="0" borderId="26" xfId="0" applyFont="1" applyFill="1" applyBorder="1" applyAlignment="1">
      <alignment horizontal="right"/>
    </xf>
    <xf numFmtId="0" fontId="68" fillId="0" borderId="26" xfId="0" applyFont="1" applyFill="1" applyBorder="1" applyAlignment="1">
      <alignment horizontal="left" vertical="center"/>
    </xf>
    <xf numFmtId="164" fontId="54" fillId="0" borderId="26" xfId="0" applyNumberFormat="1" applyFont="1" applyFill="1" applyBorder="1" applyAlignment="1">
      <alignment horizontal="right" vertical="center"/>
    </xf>
    <xf numFmtId="0" fontId="66" fillId="0" borderId="26" xfId="0" applyFont="1" applyBorder="1" applyAlignment="1">
      <alignment horizontal="right"/>
    </xf>
    <xf numFmtId="0" fontId="49" fillId="29" borderId="26" xfId="0" applyFont="1" applyFill="1" applyBorder="1" applyAlignment="1">
      <alignment horizontal="left"/>
    </xf>
    <xf numFmtId="0" fontId="69" fillId="29" borderId="26" xfId="0" applyFont="1" applyFill="1" applyBorder="1" applyAlignment="1">
      <alignment wrapText="1"/>
    </xf>
    <xf numFmtId="164" fontId="69" fillId="29" borderId="26" xfId="0" applyNumberFormat="1" applyFont="1" applyFill="1" applyBorder="1" applyAlignment="1">
      <alignment horizontal="right" vertical="center"/>
    </xf>
    <xf numFmtId="164" fontId="55" fillId="40" borderId="26" xfId="0" applyNumberFormat="1" applyFont="1" applyFill="1" applyBorder="1" applyAlignment="1">
      <alignment horizontal="right" vertical="center"/>
    </xf>
    <xf numFmtId="0" fontId="48" fillId="39" borderId="26" xfId="0" applyFont="1" applyFill="1" applyBorder="1"/>
    <xf numFmtId="0" fontId="52" fillId="39" borderId="26" xfId="0" applyFont="1" applyFill="1" applyBorder="1"/>
    <xf numFmtId="164" fontId="55" fillId="39" borderId="26" xfId="0" applyNumberFormat="1" applyFont="1" applyFill="1" applyBorder="1"/>
    <xf numFmtId="0" fontId="57" fillId="39" borderId="26" xfId="0" applyFont="1" applyFill="1" applyBorder="1"/>
    <xf numFmtId="0" fontId="70" fillId="39" borderId="26" xfId="0" applyFont="1" applyFill="1" applyBorder="1" applyAlignment="1">
      <alignment vertical="center" wrapText="1"/>
    </xf>
    <xf numFmtId="164" fontId="58" fillId="39" borderId="26" xfId="0" applyNumberFormat="1" applyFont="1" applyFill="1" applyBorder="1" applyAlignment="1">
      <alignment horizontal="right" vertical="center"/>
    </xf>
    <xf numFmtId="164" fontId="55" fillId="4" borderId="26" xfId="0" applyNumberFormat="1" applyFont="1" applyFill="1" applyBorder="1" applyAlignment="1">
      <alignment horizontal="right" vertical="center"/>
    </xf>
    <xf numFmtId="0" fontId="52" fillId="40" borderId="26" xfId="0" applyFont="1" applyFill="1" applyBorder="1" applyAlignment="1">
      <alignment horizontal="left"/>
    </xf>
    <xf numFmtId="0" fontId="52" fillId="45" borderId="26" xfId="0" applyFont="1" applyFill="1" applyBorder="1" applyAlignment="1">
      <alignment horizontal="center" vertical="center"/>
    </xf>
    <xf numFmtId="0" fontId="52" fillId="45" borderId="26" xfId="0" applyFont="1" applyFill="1" applyBorder="1"/>
    <xf numFmtId="164" fontId="55" fillId="45" borderId="26" xfId="0" applyNumberFormat="1" applyFont="1" applyFill="1" applyBorder="1"/>
    <xf numFmtId="0" fontId="52" fillId="46" borderId="26" xfId="0" applyFont="1" applyFill="1" applyBorder="1"/>
    <xf numFmtId="164" fontId="55" fillId="46" borderId="26" xfId="0" applyNumberFormat="1" applyFont="1" applyFill="1" applyBorder="1"/>
    <xf numFmtId="164" fontId="71" fillId="40" borderId="26" xfId="0" applyNumberFormat="1" applyFont="1" applyFill="1" applyBorder="1" applyAlignment="1">
      <alignment horizontal="right"/>
    </xf>
    <xf numFmtId="0" fontId="56" fillId="42" borderId="26" xfId="0" applyFont="1" applyFill="1" applyBorder="1" applyAlignment="1">
      <alignment horizontal="center"/>
    </xf>
    <xf numFmtId="0" fontId="56" fillId="42" borderId="26" xfId="0" applyFont="1" applyFill="1" applyBorder="1" applyAlignment="1">
      <alignment horizontal="left"/>
    </xf>
    <xf numFmtId="164" fontId="71" fillId="42" borderId="26" xfId="0" applyNumberFormat="1" applyFont="1" applyFill="1" applyBorder="1" applyAlignment="1">
      <alignment horizontal="right"/>
    </xf>
    <xf numFmtId="0" fontId="72" fillId="37" borderId="26" xfId="0" applyFont="1" applyFill="1" applyBorder="1" applyAlignment="1">
      <alignment horizontal="right" vertical="center"/>
    </xf>
    <xf numFmtId="0" fontId="72" fillId="37" borderId="26" xfId="0" applyFont="1" applyFill="1" applyBorder="1" applyAlignment="1">
      <alignment horizontal="right"/>
    </xf>
    <xf numFmtId="0" fontId="72" fillId="37" borderId="26" xfId="0" applyFont="1" applyFill="1" applyBorder="1" applyAlignment="1">
      <alignment horizontal="left" vertical="center" wrapText="1"/>
    </xf>
    <xf numFmtId="164" fontId="73" fillId="37" borderId="26" xfId="0" applyNumberFormat="1" applyFont="1" applyFill="1" applyBorder="1" applyAlignment="1">
      <alignment horizontal="right"/>
    </xf>
    <xf numFmtId="0" fontId="48" fillId="37" borderId="26" xfId="0" applyFont="1" applyFill="1" applyBorder="1"/>
    <xf numFmtId="164" fontId="54" fillId="37" borderId="26" xfId="0" applyNumberFormat="1" applyFont="1" applyFill="1" applyBorder="1"/>
    <xf numFmtId="0" fontId="48" fillId="37" borderId="26" xfId="0" applyFont="1" applyFill="1" applyBorder="1" applyAlignment="1">
      <alignment wrapText="1"/>
    </xf>
    <xf numFmtId="0" fontId="52" fillId="37" borderId="26" xfId="0" applyFont="1" applyFill="1" applyBorder="1" applyAlignment="1">
      <alignment horizontal="center" vertical="center"/>
    </xf>
    <xf numFmtId="0" fontId="52" fillId="37" borderId="26" xfId="0" applyFont="1" applyFill="1" applyBorder="1"/>
    <xf numFmtId="0" fontId="69" fillId="37" borderId="26" xfId="0" applyFont="1" applyFill="1" applyBorder="1" applyAlignment="1">
      <alignment wrapText="1"/>
    </xf>
    <xf numFmtId="164" fontId="69" fillId="37" borderId="26" xfId="0" applyNumberFormat="1" applyFont="1" applyFill="1" applyBorder="1"/>
    <xf numFmtId="0" fontId="61" fillId="37" borderId="26" xfId="0" applyFont="1" applyFill="1" applyBorder="1" applyAlignment="1">
      <alignment wrapText="1"/>
    </xf>
    <xf numFmtId="164" fontId="61" fillId="37" borderId="26" xfId="0" applyNumberFormat="1" applyFont="1" applyFill="1" applyBorder="1"/>
    <xf numFmtId="0" fontId="52" fillId="0" borderId="26" xfId="0" applyFont="1" applyFill="1" applyBorder="1" applyAlignment="1">
      <alignment horizontal="center" vertical="center"/>
    </xf>
    <xf numFmtId="0" fontId="61" fillId="0" borderId="26" xfId="0" applyFont="1" applyBorder="1" applyAlignment="1">
      <alignment wrapText="1"/>
    </xf>
    <xf numFmtId="0" fontId="74" fillId="0" borderId="26" xfId="0" applyFont="1" applyBorder="1"/>
    <xf numFmtId="0" fontId="74" fillId="0" borderId="26" xfId="0" applyFont="1" applyBorder="1" applyAlignment="1">
      <alignment wrapText="1"/>
    </xf>
    <xf numFmtId="164" fontId="74" fillId="37" borderId="26" xfId="0" applyNumberFormat="1" applyFont="1" applyFill="1" applyBorder="1"/>
    <xf numFmtId="0" fontId="48" fillId="37" borderId="26" xfId="0" quotePrefix="1" applyFont="1" applyFill="1" applyBorder="1" applyAlignment="1">
      <alignment wrapText="1"/>
    </xf>
    <xf numFmtId="0" fontId="75" fillId="37" borderId="26" xfId="0" applyFont="1" applyFill="1" applyBorder="1"/>
    <xf numFmtId="0" fontId="58" fillId="37" borderId="26" xfId="0" applyFont="1" applyFill="1" applyBorder="1" applyAlignment="1">
      <alignment wrapText="1"/>
    </xf>
    <xf numFmtId="164" fontId="58" fillId="37" borderId="26" xfId="0" applyNumberFormat="1" applyFont="1" applyFill="1" applyBorder="1"/>
    <xf numFmtId="0" fontId="75" fillId="37" borderId="26" xfId="0" applyFont="1" applyFill="1" applyBorder="1" applyAlignment="1">
      <alignment wrapText="1"/>
    </xf>
    <xf numFmtId="164" fontId="75" fillId="37" borderId="26" xfId="0" applyNumberFormat="1" applyFont="1" applyFill="1" applyBorder="1"/>
    <xf numFmtId="0" fontId="63" fillId="40" borderId="26" xfId="1" applyFont="1" applyFill="1" applyBorder="1" applyAlignment="1">
      <alignment horizontal="left" vertical="top"/>
    </xf>
    <xf numFmtId="164" fontId="53" fillId="40" borderId="26" xfId="0" applyNumberFormat="1" applyFont="1" applyFill="1" applyBorder="1"/>
    <xf numFmtId="0" fontId="52" fillId="42" borderId="26" xfId="0" applyFont="1" applyFill="1" applyBorder="1" applyAlignment="1">
      <alignment horizontal="center"/>
    </xf>
    <xf numFmtId="0" fontId="76" fillId="42" borderId="26" xfId="1" applyFont="1" applyFill="1" applyBorder="1" applyAlignment="1">
      <alignment horizontal="left" vertical="center" wrapText="1"/>
    </xf>
    <xf numFmtId="0" fontId="66" fillId="0" borderId="26" xfId="0" applyFont="1" applyBorder="1" applyAlignment="1">
      <alignment horizontal="right" vertical="center"/>
    </xf>
    <xf numFmtId="0" fontId="64" fillId="0" borderId="26" xfId="1" applyFont="1" applyFill="1" applyBorder="1" applyAlignment="1">
      <alignment horizontal="left" vertical="top"/>
    </xf>
    <xf numFmtId="0" fontId="77" fillId="0" borderId="26" xfId="0" applyFont="1" applyBorder="1" applyAlignment="1">
      <alignment horizontal="right" vertical="center"/>
    </xf>
    <xf numFmtId="0" fontId="63" fillId="40" borderId="26" xfId="1" applyFont="1" applyFill="1" applyBorder="1" applyAlignment="1">
      <alignment horizontal="left" vertical="top" wrapText="1"/>
    </xf>
    <xf numFmtId="164" fontId="55" fillId="4" borderId="26" xfId="0" applyNumberFormat="1" applyFont="1" applyFill="1" applyBorder="1" applyAlignment="1">
      <alignment vertical="center"/>
    </xf>
    <xf numFmtId="0" fontId="49" fillId="0" borderId="26" xfId="0" applyFont="1" applyBorder="1" applyAlignment="1">
      <alignment horizontal="center" vertical="center" wrapText="1"/>
    </xf>
    <xf numFmtId="0" fontId="49" fillId="0" borderId="26" xfId="0" applyFont="1" applyBorder="1" applyAlignment="1">
      <alignment horizontal="left" vertical="center" wrapText="1"/>
    </xf>
    <xf numFmtId="0" fontId="52" fillId="40" borderId="26" xfId="0" applyFont="1" applyFill="1" applyBorder="1" applyAlignment="1">
      <alignment horizontal="left" wrapText="1"/>
    </xf>
    <xf numFmtId="0" fontId="52" fillId="40" borderId="26" xfId="0" applyFont="1" applyFill="1" applyBorder="1" applyAlignment="1">
      <alignment wrapText="1"/>
    </xf>
    <xf numFmtId="0" fontId="63" fillId="40" borderId="26" xfId="1" applyFont="1" applyFill="1" applyBorder="1" applyAlignment="1">
      <alignment horizontal="left" vertical="center" wrapText="1"/>
    </xf>
    <xf numFmtId="164" fontId="55" fillId="40" borderId="26" xfId="0" applyNumberFormat="1" applyFont="1" applyFill="1" applyBorder="1" applyAlignment="1">
      <alignment wrapText="1"/>
    </xf>
    <xf numFmtId="0" fontId="52" fillId="28" borderId="26" xfId="0" applyFont="1" applyFill="1" applyBorder="1" applyAlignment="1">
      <alignment horizontal="left" wrapText="1"/>
    </xf>
    <xf numFmtId="0" fontId="52" fillId="28" borderId="26" xfId="0" applyFont="1" applyFill="1" applyBorder="1" applyAlignment="1">
      <alignment wrapText="1"/>
    </xf>
    <xf numFmtId="0" fontId="78" fillId="28" borderId="26" xfId="1" applyFont="1" applyFill="1" applyBorder="1" applyAlignment="1">
      <alignment horizontal="left" vertical="center" wrapText="1"/>
    </xf>
    <xf numFmtId="164" fontId="55" fillId="28" borderId="26" xfId="0" applyNumberFormat="1" applyFont="1" applyFill="1" applyBorder="1" applyAlignment="1">
      <alignment wrapText="1"/>
    </xf>
    <xf numFmtId="0" fontId="54" fillId="37" borderId="26" xfId="0" applyFont="1" applyFill="1" applyBorder="1" applyAlignment="1">
      <alignment horizontal="left" wrapText="1"/>
    </xf>
    <xf numFmtId="0" fontId="54" fillId="37" borderId="26" xfId="0" applyFont="1" applyFill="1" applyBorder="1" applyAlignment="1">
      <alignment wrapText="1"/>
    </xf>
    <xf numFmtId="0" fontId="79" fillId="37" borderId="26" xfId="1" applyFont="1" applyFill="1" applyBorder="1" applyAlignment="1">
      <alignment horizontal="left" vertical="center" wrapText="1"/>
    </xf>
    <xf numFmtId="164" fontId="54" fillId="37" borderId="26" xfId="0" applyNumberFormat="1" applyFont="1" applyFill="1" applyBorder="1" applyAlignment="1">
      <alignment wrapText="1"/>
    </xf>
    <xf numFmtId="0" fontId="62" fillId="28" borderId="26" xfId="0" applyFont="1" applyFill="1" applyBorder="1" applyAlignment="1">
      <alignment horizontal="left" wrapText="1"/>
    </xf>
    <xf numFmtId="0" fontId="62" fillId="28" borderId="26" xfId="0" applyFont="1" applyFill="1" applyBorder="1" applyAlignment="1">
      <alignment wrapText="1"/>
    </xf>
    <xf numFmtId="0" fontId="65" fillId="28" borderId="26" xfId="1" applyFont="1" applyFill="1" applyBorder="1" applyAlignment="1">
      <alignment horizontal="left" vertical="center" wrapText="1"/>
    </xf>
    <xf numFmtId="164" fontId="61" fillId="28" borderId="26" xfId="0" applyNumberFormat="1" applyFont="1" applyFill="1" applyBorder="1" applyAlignment="1">
      <alignment wrapText="1"/>
    </xf>
    <xf numFmtId="0" fontId="66" fillId="0" borderId="26" xfId="0" applyFont="1" applyFill="1" applyBorder="1" applyAlignment="1">
      <alignment horizontal="right" vertical="center" wrapText="1"/>
    </xf>
    <xf numFmtId="164" fontId="54" fillId="0" borderId="26" xfId="0" applyNumberFormat="1" applyFont="1" applyFill="1" applyBorder="1" applyAlignment="1">
      <alignment wrapText="1"/>
    </xf>
    <xf numFmtId="0" fontId="66" fillId="0" borderId="26" xfId="0" applyFont="1" applyBorder="1" applyAlignment="1">
      <alignment horizontal="right" vertical="center" wrapText="1"/>
    </xf>
    <xf numFmtId="0" fontId="57" fillId="0" borderId="26" xfId="1" applyFont="1" applyFill="1" applyBorder="1" applyAlignment="1">
      <alignment horizontal="left" vertical="center" wrapText="1"/>
    </xf>
    <xf numFmtId="0" fontId="80" fillId="2" borderId="26" xfId="0" applyFont="1" applyFill="1" applyBorder="1" applyAlignment="1">
      <alignment horizontal="right" vertical="center" wrapText="1"/>
    </xf>
    <xf numFmtId="0" fontId="62" fillId="2" borderId="26" xfId="0" applyFont="1" applyFill="1" applyBorder="1" applyAlignment="1">
      <alignment wrapText="1"/>
    </xf>
    <xf numFmtId="0" fontId="81" fillId="2" borderId="26" xfId="1" applyFont="1" applyFill="1" applyBorder="1" applyAlignment="1">
      <alignment horizontal="left" vertical="center" wrapText="1"/>
    </xf>
    <xf numFmtId="164" fontId="58" fillId="2" borderId="26" xfId="0" applyNumberFormat="1" applyFont="1" applyFill="1" applyBorder="1" applyAlignment="1">
      <alignment wrapText="1"/>
    </xf>
    <xf numFmtId="0" fontId="82" fillId="37" borderId="26" xfId="0" applyFont="1" applyFill="1" applyBorder="1" applyAlignment="1">
      <alignment horizontal="right" vertical="center" wrapText="1"/>
    </xf>
    <xf numFmtId="0" fontId="75" fillId="37" borderId="26" xfId="1" applyFont="1" applyFill="1" applyBorder="1" applyAlignment="1">
      <alignment horizontal="left" vertical="center" wrapText="1"/>
    </xf>
    <xf numFmtId="164" fontId="75" fillId="37" borderId="26" xfId="0" applyNumberFormat="1" applyFont="1" applyFill="1" applyBorder="1" applyAlignment="1">
      <alignment wrapText="1"/>
    </xf>
    <xf numFmtId="0" fontId="57" fillId="0" borderId="26" xfId="1" applyFont="1" applyFill="1" applyBorder="1" applyAlignment="1">
      <alignment horizontal="left" vertical="top" wrapText="1"/>
    </xf>
    <xf numFmtId="164" fontId="75" fillId="0" borderId="26" xfId="0" applyNumberFormat="1" applyFont="1" applyFill="1" applyBorder="1" applyAlignment="1">
      <alignment wrapText="1"/>
    </xf>
    <xf numFmtId="0" fontId="49" fillId="2" borderId="26" xfId="0" applyFont="1" applyFill="1" applyBorder="1" applyAlignment="1">
      <alignment horizontal="center" vertical="center" wrapText="1"/>
    </xf>
    <xf numFmtId="0" fontId="48" fillId="2" borderId="26" xfId="0" applyFont="1" applyFill="1" applyBorder="1" applyAlignment="1">
      <alignment wrapText="1"/>
    </xf>
    <xf numFmtId="0" fontId="78" fillId="2" borderId="26" xfId="1" applyFont="1" applyFill="1" applyBorder="1" applyAlignment="1">
      <alignment horizontal="left" vertical="top" wrapText="1"/>
    </xf>
    <xf numFmtId="164" fontId="61" fillId="2" borderId="26" xfId="0" applyNumberFormat="1" applyFont="1" applyFill="1" applyBorder="1" applyAlignment="1">
      <alignment wrapText="1"/>
    </xf>
    <xf numFmtId="0" fontId="49" fillId="37" borderId="26" xfId="0" applyFont="1" applyFill="1" applyBorder="1" applyAlignment="1">
      <alignment horizontal="center" vertical="center" wrapText="1"/>
    </xf>
    <xf numFmtId="0" fontId="64" fillId="37" borderId="26" xfId="1" applyFont="1" applyFill="1" applyBorder="1" applyAlignment="1">
      <alignment horizontal="left" vertical="top" wrapText="1"/>
    </xf>
    <xf numFmtId="164" fontId="51" fillId="4" borderId="26" xfId="0" applyNumberFormat="1" applyFont="1" applyFill="1" applyBorder="1" applyAlignment="1">
      <alignment horizontal="right" vertical="center"/>
    </xf>
    <xf numFmtId="164" fontId="54" fillId="0" borderId="0" xfId="0" applyNumberFormat="1" applyFont="1" applyBorder="1"/>
    <xf numFmtId="164" fontId="84" fillId="47" borderId="0" xfId="0" applyNumberFormat="1" applyFont="1" applyFill="1" applyBorder="1" applyAlignment="1">
      <alignment horizontal="right" vertical="center"/>
    </xf>
    <xf numFmtId="164" fontId="61" fillId="48" borderId="0" xfId="0" applyNumberFormat="1" applyFont="1" applyFill="1" applyBorder="1"/>
    <xf numFmtId="164" fontId="86" fillId="4" borderId="0" xfId="0" applyNumberFormat="1" applyFont="1" applyFill="1" applyBorder="1"/>
    <xf numFmtId="49" fontId="70" fillId="0" borderId="0" xfId="2" applyNumberFormat="1" applyFont="1" applyFill="1" applyBorder="1" applyAlignment="1">
      <alignment horizontal="left" wrapText="1"/>
    </xf>
    <xf numFmtId="0" fontId="87" fillId="0" borderId="0" xfId="0" applyFont="1" applyAlignment="1">
      <alignment horizontal="center" vertical="center" wrapText="1"/>
    </xf>
    <xf numFmtId="0" fontId="88" fillId="0" borderId="0" xfId="0" applyFont="1" applyAlignment="1">
      <alignment horizontal="center" vertical="center" wrapText="1"/>
    </xf>
    <xf numFmtId="0" fontId="89" fillId="0" borderId="0" xfId="0" applyFont="1" applyAlignment="1">
      <alignment horizontal="center" vertical="center" wrapText="1"/>
    </xf>
    <xf numFmtId="164" fontId="23" fillId="49" borderId="0" xfId="0" applyNumberFormat="1" applyFont="1" applyFill="1" applyAlignment="1">
      <alignment horizontal="right" vertical="center" wrapText="1"/>
    </xf>
    <xf numFmtId="164" fontId="25" fillId="49" borderId="0" xfId="0" applyNumberFormat="1" applyFont="1" applyFill="1" applyAlignment="1">
      <alignment horizontal="right" vertical="center" wrapText="1"/>
    </xf>
    <xf numFmtId="49" fontId="59" fillId="37" borderId="26" xfId="2" applyNumberFormat="1" applyFont="1" applyFill="1" applyBorder="1" applyAlignment="1">
      <alignment horizontal="left" wrapText="1"/>
    </xf>
    <xf numFmtId="0" fontId="90" fillId="37" borderId="26" xfId="0" applyFont="1" applyFill="1" applyBorder="1"/>
    <xf numFmtId="0" fontId="67" fillId="37" borderId="26" xfId="0" applyFont="1" applyFill="1" applyBorder="1" applyAlignment="1">
      <alignment wrapText="1"/>
    </xf>
    <xf numFmtId="164" fontId="67" fillId="37" borderId="26" xfId="0" applyNumberFormat="1" applyFont="1" applyFill="1" applyBorder="1"/>
    <xf numFmtId="0" fontId="91" fillId="0" borderId="26" xfId="0" applyFont="1" applyFill="1" applyBorder="1" applyAlignment="1">
      <alignment horizontal="right" vertical="center" wrapText="1"/>
    </xf>
    <xf numFmtId="0" fontId="90" fillId="0" borderId="26" xfId="0" applyFont="1" applyFill="1" applyBorder="1" applyAlignment="1">
      <alignment wrapText="1"/>
    </xf>
    <xf numFmtId="0" fontId="67" fillId="0" borderId="26" xfId="1" applyFont="1" applyFill="1" applyBorder="1" applyAlignment="1">
      <alignment horizontal="left" vertical="top" wrapText="1"/>
    </xf>
    <xf numFmtId="164" fontId="67" fillId="0" borderId="26" xfId="0" applyNumberFormat="1" applyFont="1" applyFill="1" applyBorder="1" applyAlignment="1">
      <alignment wrapText="1"/>
    </xf>
    <xf numFmtId="0" fontId="25" fillId="49" borderId="0" xfId="0" applyFont="1" applyFill="1" applyAlignment="1">
      <alignment horizontal="center" vertical="center" wrapText="1"/>
    </xf>
    <xf numFmtId="49" fontId="92" fillId="49" borderId="0" xfId="2" applyNumberFormat="1" applyFont="1" applyFill="1" applyBorder="1" applyAlignment="1">
      <alignment horizontal="left" vertical="center" wrapText="1"/>
    </xf>
    <xf numFmtId="0" fontId="49" fillId="30" borderId="26" xfId="0" applyFont="1" applyFill="1" applyBorder="1" applyAlignment="1">
      <alignment horizontal="left" vertical="center"/>
    </xf>
    <xf numFmtId="0" fontId="48" fillId="30" borderId="26" xfId="0" applyFont="1" applyFill="1" applyBorder="1"/>
    <xf numFmtId="0" fontId="77" fillId="0" borderId="26" xfId="0" applyFont="1" applyBorder="1" applyAlignment="1">
      <alignment horizontal="right"/>
    </xf>
    <xf numFmtId="164" fontId="48" fillId="0" borderId="26" xfId="0" applyNumberFormat="1" applyFont="1" applyFill="1" applyBorder="1" applyAlignment="1">
      <alignment horizontal="right" vertical="center"/>
    </xf>
    <xf numFmtId="164" fontId="50" fillId="30" borderId="26" xfId="0" applyNumberFormat="1" applyFont="1" applyFill="1" applyBorder="1" applyAlignment="1">
      <alignment horizontal="right" vertical="center"/>
    </xf>
    <xf numFmtId="0" fontId="49" fillId="49" borderId="26" xfId="0" applyFont="1" applyFill="1" applyBorder="1" applyAlignment="1">
      <alignment vertical="center"/>
    </xf>
    <xf numFmtId="49" fontId="70" fillId="49" borderId="0" xfId="2" applyNumberFormat="1" applyFont="1" applyFill="1" applyBorder="1" applyAlignment="1">
      <alignment vertical="center" wrapText="1"/>
    </xf>
    <xf numFmtId="164" fontId="49" fillId="49" borderId="26" xfId="0" applyNumberFormat="1" applyFont="1" applyFill="1" applyBorder="1" applyAlignment="1">
      <alignment vertical="center"/>
    </xf>
    <xf numFmtId="49" fontId="92" fillId="0" borderId="0" xfId="2" applyNumberFormat="1" applyFont="1" applyFill="1" applyBorder="1" applyAlignment="1">
      <alignment horizontal="left" vertical="center" wrapText="1"/>
    </xf>
    <xf numFmtId="0" fontId="22" fillId="27" borderId="3" xfId="47" applyFont="1" applyBorder="1" applyAlignment="1">
      <alignment horizontal="center" vertical="center" wrapText="1"/>
    </xf>
    <xf numFmtId="0" fontId="22" fillId="27" borderId="4" xfId="47" applyFont="1" applyBorder="1" applyAlignment="1">
      <alignment horizontal="center" vertical="center" wrapText="1"/>
    </xf>
    <xf numFmtId="0" fontId="22" fillId="27" borderId="5" xfId="47" applyFont="1" applyBorder="1" applyAlignment="1">
      <alignment horizontal="center" vertical="center" wrapText="1"/>
    </xf>
    <xf numFmtId="0" fontId="83" fillId="47" borderId="0" xfId="0" applyFont="1" applyFill="1" applyAlignment="1">
      <alignment horizontal="left" vertical="center"/>
    </xf>
    <xf numFmtId="0" fontId="49" fillId="48" borderId="0" xfId="0" applyFont="1" applyFill="1" applyAlignment="1">
      <alignment horizontal="left"/>
    </xf>
    <xf numFmtId="0" fontId="85" fillId="4" borderId="0" xfId="0" applyFont="1" applyFill="1" applyAlignment="1">
      <alignment horizontal="left" vertical="center"/>
    </xf>
    <xf numFmtId="0" fontId="52" fillId="4" borderId="26" xfId="0" applyFont="1" applyFill="1" applyBorder="1" applyAlignment="1">
      <alignment horizontal="left"/>
    </xf>
    <xf numFmtId="0" fontId="52" fillId="4" borderId="26" xfId="0" applyFont="1" applyFill="1" applyBorder="1" applyAlignment="1">
      <alignment horizontal="left" vertical="center" wrapText="1"/>
    </xf>
    <xf numFmtId="164" fontId="67" fillId="0" borderId="29" xfId="0" applyNumberFormat="1" applyFont="1" applyFill="1" applyBorder="1" applyAlignment="1">
      <alignment horizontal="right" vertical="center" wrapText="1"/>
    </xf>
    <xf numFmtId="164" fontId="67" fillId="0" borderId="30" xfId="0" applyNumberFormat="1" applyFont="1" applyFill="1" applyBorder="1" applyAlignment="1">
      <alignment horizontal="right" vertical="center" wrapText="1"/>
    </xf>
    <xf numFmtId="164" fontId="67" fillId="0" borderId="31" xfId="0" applyNumberFormat="1" applyFont="1" applyFill="1" applyBorder="1" applyAlignment="1">
      <alignment horizontal="right" vertical="center" wrapText="1"/>
    </xf>
    <xf numFmtId="164" fontId="54" fillId="0" borderId="29" xfId="0" applyNumberFormat="1" applyFont="1" applyFill="1" applyBorder="1" applyAlignment="1">
      <alignment horizontal="right" vertical="center" wrapText="1"/>
    </xf>
    <xf numFmtId="164" fontId="54" fillId="0" borderId="30" xfId="0" applyNumberFormat="1" applyFont="1" applyFill="1" applyBorder="1" applyAlignment="1">
      <alignment horizontal="right" vertical="center" wrapText="1"/>
    </xf>
    <xf numFmtId="164" fontId="54" fillId="0" borderId="31" xfId="0" applyNumberFormat="1" applyFont="1" applyFill="1" applyBorder="1" applyAlignment="1">
      <alignment horizontal="right" vertical="center" wrapText="1"/>
    </xf>
    <xf numFmtId="0" fontId="49" fillId="2" borderId="27" xfId="0" applyFont="1" applyFill="1" applyBorder="1" applyAlignment="1">
      <alignment horizontal="center" vertical="center" wrapText="1"/>
    </xf>
    <xf numFmtId="0" fontId="49" fillId="2" borderId="28" xfId="0" applyFont="1" applyFill="1" applyBorder="1" applyAlignment="1">
      <alignment horizontal="center" vertical="center" wrapText="1"/>
    </xf>
    <xf numFmtId="0" fontId="50" fillId="3" borderId="26" xfId="0" applyFont="1" applyFill="1" applyBorder="1" applyAlignment="1">
      <alignment horizontal="center" vertical="center"/>
    </xf>
    <xf numFmtId="0" fontId="52" fillId="39" borderId="26" xfId="0" applyFont="1" applyFill="1" applyBorder="1" applyAlignment="1">
      <alignment horizontal="center" vertical="center"/>
    </xf>
    <xf numFmtId="0" fontId="23" fillId="29" borderId="0" xfId="0" applyFont="1" applyFill="1" applyAlignment="1">
      <alignment horizontal="left" vertical="center" wrapText="1"/>
    </xf>
    <xf numFmtId="0" fontId="29" fillId="31" borderId="0" xfId="0" applyFont="1" applyFill="1" applyAlignment="1">
      <alignment horizontal="left" vertical="center" wrapText="1"/>
    </xf>
    <xf numFmtId="0" fontId="22" fillId="27" borderId="16" xfId="47" applyFont="1" applyBorder="1" applyAlignment="1">
      <alignment horizontal="center" vertical="center" wrapText="1"/>
    </xf>
    <xf numFmtId="0" fontId="22" fillId="27" borderId="0" xfId="47" applyFont="1" applyBorder="1" applyAlignment="1">
      <alignment horizontal="center" vertical="center" wrapText="1"/>
    </xf>
    <xf numFmtId="0" fontId="23" fillId="32" borderId="0" xfId="0" applyFont="1" applyFill="1" applyAlignment="1">
      <alignment horizontal="left" vertical="center" wrapText="1"/>
    </xf>
    <xf numFmtId="0" fontId="23" fillId="28" borderId="0" xfId="0" applyFont="1" applyFill="1" applyAlignment="1">
      <alignment horizontal="left" vertical="center" wrapText="1"/>
    </xf>
    <xf numFmtId="0" fontId="31" fillId="2" borderId="17" xfId="0" applyFont="1" applyFill="1" applyBorder="1" applyAlignment="1">
      <alignment horizontal="center" vertical="center" wrapText="1"/>
    </xf>
    <xf numFmtId="0" fontId="31" fillId="2" borderId="18" xfId="0" applyFont="1" applyFill="1" applyBorder="1" applyAlignment="1">
      <alignment horizontal="center" vertical="center" wrapText="1"/>
    </xf>
    <xf numFmtId="0" fontId="32" fillId="33" borderId="19" xfId="0" applyFont="1" applyFill="1" applyBorder="1" applyAlignment="1">
      <alignment horizontal="center" vertical="center" wrapText="1"/>
    </xf>
    <xf numFmtId="0" fontId="32" fillId="33" borderId="20" xfId="0" applyFont="1" applyFill="1" applyBorder="1" applyAlignment="1">
      <alignment horizontal="center" vertical="center" wrapText="1"/>
    </xf>
    <xf numFmtId="4" fontId="45" fillId="0" borderId="0" xfId="49" applyNumberFormat="1" applyFont="1" applyAlignment="1">
      <alignment horizontal="center" wrapText="1"/>
    </xf>
  </cellXfs>
  <cellStyles count="50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" xfId="47" builtinId="23"/>
    <cellStyle name="Check Cell 2" xfId="29"/>
    <cellStyle name="Comma 2" xfId="30"/>
    <cellStyle name="Comma 3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2" xfId="1"/>
    <cellStyle name="Normal 26" xfId="48"/>
    <cellStyle name="Normal 31" xfId="49"/>
    <cellStyle name="Note 2" xfId="41"/>
    <cellStyle name="Obično_List1" xfId="2"/>
    <cellStyle name="Output 2" xfId="42"/>
    <cellStyle name="Percent 2" xfId="43"/>
    <cellStyle name="Title 2" xfId="44"/>
    <cellStyle name="Total 2" xfId="45"/>
    <cellStyle name="Warning Text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7"/>
  <sheetViews>
    <sheetView topLeftCell="A61" zoomScale="115" zoomScaleNormal="115" workbookViewId="0">
      <selection activeCell="E52" sqref="E52"/>
    </sheetView>
  </sheetViews>
  <sheetFormatPr defaultRowHeight="12.75" x14ac:dyDescent="0.25"/>
  <cols>
    <col min="1" max="1" width="9.140625" style="1"/>
    <col min="2" max="2" width="15" style="1" customWidth="1"/>
    <col min="3" max="3" width="52.5703125" style="46" customWidth="1"/>
    <col min="4" max="6" width="16.85546875" style="16" customWidth="1"/>
    <col min="7" max="7" width="18.28515625" style="16" customWidth="1"/>
    <col min="8" max="9" width="9.140625" style="1"/>
    <col min="10" max="10" width="10.28515625" style="1" bestFit="1" customWidth="1"/>
    <col min="11" max="16384" width="9.140625" style="1"/>
  </cols>
  <sheetData>
    <row r="1" spans="2:11" ht="13.5" thickBot="1" x14ac:dyDescent="0.3"/>
    <row r="2" spans="2:11" ht="43.5" customHeight="1" thickBot="1" x14ac:dyDescent="0.3">
      <c r="B2" s="339" t="s">
        <v>349</v>
      </c>
      <c r="C2" s="340"/>
      <c r="D2" s="340"/>
      <c r="E2" s="340"/>
      <c r="F2" s="340"/>
      <c r="G2" s="341"/>
    </row>
    <row r="4" spans="2:11" ht="38.25" x14ac:dyDescent="0.25">
      <c r="B4" s="2" t="s">
        <v>0</v>
      </c>
      <c r="C4" s="2" t="s">
        <v>1</v>
      </c>
      <c r="D4" s="101" t="s">
        <v>345</v>
      </c>
      <c r="E4" s="101" t="s">
        <v>346</v>
      </c>
      <c r="F4" s="101" t="s">
        <v>141</v>
      </c>
      <c r="G4" s="3" t="s">
        <v>158</v>
      </c>
    </row>
    <row r="5" spans="2:11" x14ac:dyDescent="0.25">
      <c r="B5" s="1">
        <v>1</v>
      </c>
      <c r="C5" s="1">
        <v>2</v>
      </c>
      <c r="D5" s="4">
        <v>3</v>
      </c>
      <c r="E5" s="4">
        <v>4</v>
      </c>
      <c r="F5" s="4">
        <v>5</v>
      </c>
      <c r="G5" s="4">
        <v>6</v>
      </c>
    </row>
    <row r="6" spans="2:11" x14ac:dyDescent="0.25">
      <c r="C6" s="1"/>
      <c r="D6" s="4"/>
      <c r="E6" s="4"/>
      <c r="F6" s="4"/>
      <c r="G6" s="4"/>
    </row>
    <row r="7" spans="2:11" s="8" customFormat="1" ht="14.25" customHeight="1" x14ac:dyDescent="0.25">
      <c r="B7" s="5">
        <v>41</v>
      </c>
      <c r="C7" s="6" t="s">
        <v>13</v>
      </c>
      <c r="D7" s="7">
        <f>D9+D16+D29+D34+D39+D43+D47+D49</f>
        <v>5301828</v>
      </c>
      <c r="E7" s="7">
        <f>E9+E16+E29+E34+E39+E43+E47+E49</f>
        <v>6039340</v>
      </c>
      <c r="F7" s="7">
        <f>E7-D7</f>
        <v>737512</v>
      </c>
      <c r="G7" s="98">
        <f>E7/D7*100</f>
        <v>113.91052293661734</v>
      </c>
    </row>
    <row r="8" spans="2:11" x14ac:dyDescent="0.25">
      <c r="G8" s="14"/>
      <c r="K8" s="114"/>
    </row>
    <row r="9" spans="2:11" ht="14.25" x14ac:dyDescent="0.25">
      <c r="B9" s="9">
        <v>411</v>
      </c>
      <c r="C9" s="10" t="s">
        <v>14</v>
      </c>
      <c r="D9" s="11">
        <f>D11+D12+D13+D14</f>
        <v>1075028</v>
      </c>
      <c r="E9" s="11">
        <f>E11+E12+E13+E14</f>
        <v>1111500</v>
      </c>
      <c r="F9" s="11">
        <f>E9-D9</f>
        <v>36472</v>
      </c>
      <c r="G9" s="93">
        <f>E9/D9*100</f>
        <v>103.39265581919727</v>
      </c>
      <c r="K9" s="114"/>
    </row>
    <row r="10" spans="2:11" s="13" customFormat="1" x14ac:dyDescent="0.25">
      <c r="B10" s="1"/>
      <c r="D10" s="14"/>
      <c r="E10" s="14"/>
      <c r="F10" s="14"/>
      <c r="G10" s="14"/>
      <c r="K10" s="114"/>
    </row>
    <row r="11" spans="2:11" s="13" customFormat="1" x14ac:dyDescent="0.25">
      <c r="B11" s="1">
        <v>411100</v>
      </c>
      <c r="C11" s="15" t="s">
        <v>15</v>
      </c>
      <c r="D11" s="16">
        <v>960000</v>
      </c>
      <c r="E11" s="16">
        <f>'ОРГАНИЗАЦИОНА 6'!G100</f>
        <v>980000</v>
      </c>
      <c r="F11" s="16">
        <f>E11-D11</f>
        <v>20000</v>
      </c>
      <c r="G11" s="14">
        <f>E11/D11*100</f>
        <v>102.08333333333333</v>
      </c>
    </row>
    <row r="12" spans="2:11" x14ac:dyDescent="0.25">
      <c r="B12" s="1">
        <v>411200</v>
      </c>
      <c r="C12" s="15" t="s">
        <v>16</v>
      </c>
      <c r="D12" s="16">
        <v>110000</v>
      </c>
      <c r="E12" s="16">
        <f>'ОРГАНИЗАЦИОНА 6'!G101</f>
        <v>110000</v>
      </c>
      <c r="F12" s="16">
        <f t="shared" ref="F12" si="0">E12-D12</f>
        <v>0</v>
      </c>
      <c r="G12" s="14">
        <f t="shared" ref="G12" si="1">E12/D12*100</f>
        <v>100</v>
      </c>
    </row>
    <row r="13" spans="2:11" ht="28.5" x14ac:dyDescent="0.2">
      <c r="B13" s="1">
        <v>411300</v>
      </c>
      <c r="C13" s="314" t="s">
        <v>233</v>
      </c>
      <c r="D13" s="16">
        <v>2100</v>
      </c>
      <c r="E13" s="16">
        <f>'ОРГАНИЗАЦИОНА 6'!G102</f>
        <v>6500</v>
      </c>
      <c r="F13" s="16">
        <f>E13-D13</f>
        <v>4400</v>
      </c>
      <c r="G13" s="14">
        <f>E13/D13*100</f>
        <v>309.52380952380952</v>
      </c>
      <c r="J13" s="4"/>
    </row>
    <row r="14" spans="2:11" ht="28.5" x14ac:dyDescent="0.2">
      <c r="B14" s="1">
        <v>411400</v>
      </c>
      <c r="C14" s="314" t="s">
        <v>234</v>
      </c>
      <c r="D14" s="16">
        <v>2928</v>
      </c>
      <c r="E14" s="16">
        <f>'ОРГАНИЗАЦИОНА 6'!G103</f>
        <v>15000</v>
      </c>
      <c r="F14" s="16">
        <f>E14-D14</f>
        <v>12072</v>
      </c>
      <c r="G14" s="14">
        <f>E14/D14*100</f>
        <v>512.29508196721315</v>
      </c>
      <c r="J14" s="4"/>
    </row>
    <row r="15" spans="2:11" x14ac:dyDescent="0.25">
      <c r="C15" s="13"/>
      <c r="G15" s="14"/>
      <c r="J15" s="4"/>
    </row>
    <row r="16" spans="2:11" x14ac:dyDescent="0.25">
      <c r="B16" s="9">
        <v>412</v>
      </c>
      <c r="C16" s="19" t="s">
        <v>17</v>
      </c>
      <c r="D16" s="12">
        <f>D18+D19+D20+D21+D22+D23+D24+D25+D26</f>
        <v>1483300</v>
      </c>
      <c r="E16" s="12">
        <f>E18+E19+E20+E21+E22+E23+E24+E25+E26</f>
        <v>1689840</v>
      </c>
      <c r="F16" s="12">
        <f>E16-D16</f>
        <v>206540</v>
      </c>
      <c r="G16" s="93">
        <f>E16/D16*100</f>
        <v>113.92435785073822</v>
      </c>
      <c r="J16" s="4"/>
    </row>
    <row r="17" spans="2:10" x14ac:dyDescent="0.25">
      <c r="C17" s="13"/>
      <c r="G17" s="14"/>
      <c r="J17" s="4"/>
    </row>
    <row r="18" spans="2:10" x14ac:dyDescent="0.25">
      <c r="B18" s="1">
        <v>412100</v>
      </c>
      <c r="C18" s="15" t="s">
        <v>2</v>
      </c>
      <c r="D18" s="16">
        <v>178000</v>
      </c>
      <c r="E18" s="16">
        <f>'ОРГАНИЗАЦИОНА 6'!G8+'ОРГАНИЗАЦИОНА 6'!G105</f>
        <v>177000</v>
      </c>
      <c r="F18" s="16">
        <f>E18-D18</f>
        <v>-1000</v>
      </c>
      <c r="G18" s="14">
        <f>E18/D18*100</f>
        <v>99.438202247191015</v>
      </c>
      <c r="J18" s="4"/>
    </row>
    <row r="19" spans="2:10" ht="25.5" x14ac:dyDescent="0.25">
      <c r="B19" s="1">
        <v>412200</v>
      </c>
      <c r="C19" s="15" t="s">
        <v>18</v>
      </c>
      <c r="D19" s="16">
        <v>102000</v>
      </c>
      <c r="E19" s="16">
        <f>'ОРГАНИЗАЦИОНА 6'!G35+'ОРГАНИЗАЦИОНА 6'!G230</f>
        <v>113350</v>
      </c>
      <c r="F19" s="16">
        <f t="shared" ref="F19:F26" si="2">E19-D19</f>
        <v>11350</v>
      </c>
      <c r="G19" s="14">
        <f t="shared" ref="G19:G26" si="3">E19/D19*100</f>
        <v>111.12745098039215</v>
      </c>
      <c r="J19" s="4"/>
    </row>
    <row r="20" spans="2:10" x14ac:dyDescent="0.25">
      <c r="B20" s="1">
        <v>412300</v>
      </c>
      <c r="C20" s="15" t="s">
        <v>19</v>
      </c>
      <c r="D20" s="16">
        <v>32300</v>
      </c>
      <c r="E20" s="16">
        <f>'ОРГАНИЗАЦИОНА 6'!G10+'ОРГАНИЗАЦИОНА 6'!G42+'ОРГАНИЗАЦИОНА 6'!G106+'ОРГАНИЗАЦИОНА 6'!G108</f>
        <v>29300</v>
      </c>
      <c r="F20" s="16">
        <f t="shared" si="2"/>
        <v>-3000</v>
      </c>
      <c r="G20" s="14">
        <f t="shared" si="3"/>
        <v>90.712074303405572</v>
      </c>
      <c r="J20" s="4"/>
    </row>
    <row r="21" spans="2:10" x14ac:dyDescent="0.25">
      <c r="B21" s="1">
        <v>412400</v>
      </c>
      <c r="C21" s="15" t="s">
        <v>20</v>
      </c>
      <c r="D21" s="16">
        <v>2000</v>
      </c>
      <c r="E21" s="16">
        <f>'ОРГАНИЗАЦИОНА 6'!G90</f>
        <v>0</v>
      </c>
      <c r="F21" s="16">
        <f t="shared" si="2"/>
        <v>-2000</v>
      </c>
      <c r="G21" s="14">
        <f t="shared" si="3"/>
        <v>0</v>
      </c>
      <c r="J21" s="4"/>
    </row>
    <row r="22" spans="2:10" x14ac:dyDescent="0.25">
      <c r="B22" s="1">
        <v>412500</v>
      </c>
      <c r="C22" s="15" t="s">
        <v>21</v>
      </c>
      <c r="D22" s="16">
        <v>182000</v>
      </c>
      <c r="E22" s="16">
        <f>'ОРГАНИЗАЦИОНА 6'!G232+'ОРГАНИЗАЦИОНА 6'!G45</f>
        <v>293000</v>
      </c>
      <c r="F22" s="16">
        <f t="shared" si="2"/>
        <v>111000</v>
      </c>
      <c r="G22" s="14">
        <f t="shared" si="3"/>
        <v>160.98901098901101</v>
      </c>
      <c r="J22" s="4"/>
    </row>
    <row r="23" spans="2:10" x14ac:dyDescent="0.25">
      <c r="B23" s="1">
        <v>412600</v>
      </c>
      <c r="C23" s="15" t="s">
        <v>3</v>
      </c>
      <c r="D23" s="16">
        <v>31500</v>
      </c>
      <c r="E23" s="16">
        <f>'ОРГАНИЗАЦИОНА 6'!G12+'ОРГАНИЗАЦИОНА 6'!G47+'ОРГАНИЗАЦИОНА 6'!G81+'ОРГАНИЗАЦИОНА 6'!G91</f>
        <v>26400</v>
      </c>
      <c r="F23" s="16">
        <f t="shared" si="2"/>
        <v>-5100</v>
      </c>
      <c r="G23" s="14">
        <f t="shared" si="3"/>
        <v>83.80952380952381</v>
      </c>
      <c r="J23" s="4"/>
    </row>
    <row r="24" spans="2:10" x14ac:dyDescent="0.25">
      <c r="B24" s="1">
        <v>412700</v>
      </c>
      <c r="C24" s="15" t="s">
        <v>6</v>
      </c>
      <c r="D24" s="16">
        <v>379000</v>
      </c>
      <c r="E24" s="16">
        <f>'ОРГАНИЗАЦИОНА 6'!G15+'ОРГАНИЗАЦИОНА 6'!G49+'ОРГАНИЗАЦИОНА 6'!G82+'ОРГАНИЗАЦИОНА 6'!G92+'ОРГАНИЗАЦИОНА 6'!G109+'ОРГАНИЗАЦИОНА 6'!G149+'ОРГАНИЗАЦИОНА 6'!G216+'ОРГАНИЗАЦИОНА 6'!G238</f>
        <v>346900</v>
      </c>
      <c r="F24" s="16">
        <f t="shared" si="2"/>
        <v>-32100</v>
      </c>
      <c r="G24" s="14">
        <f t="shared" si="3"/>
        <v>91.530343007915576</v>
      </c>
      <c r="J24" s="4"/>
    </row>
    <row r="25" spans="2:10" x14ac:dyDescent="0.25">
      <c r="B25" s="1">
        <v>412800</v>
      </c>
      <c r="C25" s="15" t="s">
        <v>22</v>
      </c>
      <c r="D25" s="16">
        <v>268500</v>
      </c>
      <c r="E25" s="16">
        <f>'ОРГАНИЗАЦИОНА 6'!G241</f>
        <v>278500</v>
      </c>
      <c r="F25" s="16">
        <f t="shared" si="2"/>
        <v>10000</v>
      </c>
      <c r="G25" s="14">
        <f t="shared" si="3"/>
        <v>103.72439478584729</v>
      </c>
    </row>
    <row r="26" spans="2:10" x14ac:dyDescent="0.25">
      <c r="B26" s="1">
        <v>412900</v>
      </c>
      <c r="C26" s="15" t="s">
        <v>4</v>
      </c>
      <c r="D26" s="16">
        <v>308000</v>
      </c>
      <c r="E26" s="16">
        <f>'ОРГАНИЗАЦИОНА 6'!G18+'ОРГАНИЗАЦИОНА 6'!G64+'ОРГАНИЗАЦИОНА 6'!G93+'ОРГАНИЗАЦИОНА 6'!G110+'ОРГАНИЗАЦИОНА 6'!G111+'ОРГАНИЗАЦИОНА 6'!G112+'ОРГАНИЗАЦИОНА 6'!G113+'ОРГАНИЗАЦИОНА 6'!G134</f>
        <v>425390</v>
      </c>
      <c r="F26" s="16">
        <f t="shared" si="2"/>
        <v>117390</v>
      </c>
      <c r="G26" s="14">
        <f t="shared" si="3"/>
        <v>138.11363636363637</v>
      </c>
    </row>
    <row r="27" spans="2:10" x14ac:dyDescent="0.25">
      <c r="G27" s="14"/>
    </row>
    <row r="28" spans="2:10" x14ac:dyDescent="0.25">
      <c r="G28" s="14"/>
    </row>
    <row r="29" spans="2:10" s="17" customFormat="1" ht="25.5" x14ac:dyDescent="0.25">
      <c r="B29" s="9">
        <v>413</v>
      </c>
      <c r="C29" s="10" t="s">
        <v>23</v>
      </c>
      <c r="D29" s="12">
        <f>D31+D32</f>
        <v>0</v>
      </c>
      <c r="E29" s="12">
        <f>E31+E32</f>
        <v>25000</v>
      </c>
      <c r="F29" s="12">
        <f>E29-D29</f>
        <v>25000</v>
      </c>
      <c r="G29" s="93"/>
    </row>
    <row r="30" spans="2:10" s="17" customFormat="1" x14ac:dyDescent="0.25">
      <c r="C30" s="13"/>
      <c r="D30" s="16"/>
      <c r="E30" s="16"/>
      <c r="F30" s="16"/>
      <c r="G30" s="14"/>
    </row>
    <row r="31" spans="2:10" s="21" customFormat="1" ht="25.5" x14ac:dyDescent="0.25">
      <c r="B31" s="21">
        <v>413300</v>
      </c>
      <c r="C31" s="15" t="s">
        <v>24</v>
      </c>
      <c r="D31" s="16">
        <v>0</v>
      </c>
      <c r="E31" s="16">
        <v>25000</v>
      </c>
      <c r="F31" s="16">
        <f>E31-D31</f>
        <v>25000</v>
      </c>
      <c r="G31" s="14"/>
    </row>
    <row r="32" spans="2:10" s="21" customFormat="1" x14ac:dyDescent="0.25">
      <c r="B32" s="21">
        <v>413900</v>
      </c>
      <c r="C32" s="15" t="s">
        <v>25</v>
      </c>
      <c r="D32" s="16">
        <v>0</v>
      </c>
      <c r="E32" s="16">
        <v>0</v>
      </c>
      <c r="F32" s="16">
        <f>E32-D32</f>
        <v>0</v>
      </c>
      <c r="G32" s="14"/>
    </row>
    <row r="33" spans="2:7" s="8" customFormat="1" ht="14.25" x14ac:dyDescent="0.25">
      <c r="C33" s="23"/>
      <c r="D33" s="16"/>
      <c r="E33" s="16"/>
      <c r="F33" s="16"/>
      <c r="G33" s="14"/>
    </row>
    <row r="34" spans="2:7" s="21" customFormat="1" x14ac:dyDescent="0.25">
      <c r="B34" s="9">
        <v>414</v>
      </c>
      <c r="C34" s="19" t="s">
        <v>26</v>
      </c>
      <c r="D34" s="12">
        <f>D36+D37</f>
        <v>203000</v>
      </c>
      <c r="E34" s="12">
        <f>E36+E37</f>
        <v>203000</v>
      </c>
      <c r="F34" s="12">
        <f>E34-D34</f>
        <v>0</v>
      </c>
      <c r="G34" s="93">
        <f>E34/D34*100</f>
        <v>100</v>
      </c>
    </row>
    <row r="35" spans="2:7" s="21" customFormat="1" x14ac:dyDescent="0.25">
      <c r="C35" s="15"/>
      <c r="D35" s="16"/>
      <c r="E35" s="16"/>
      <c r="F35" s="16"/>
      <c r="G35" s="14"/>
    </row>
    <row r="36" spans="2:7" s="21" customFormat="1" x14ac:dyDescent="0.25">
      <c r="B36" s="21">
        <v>414100</v>
      </c>
      <c r="C36" s="15" t="s">
        <v>27</v>
      </c>
      <c r="D36" s="16">
        <v>88000</v>
      </c>
      <c r="E36" s="16">
        <f>'ОРГАНИЗАЦИОНА 6'!G152</f>
        <v>88000</v>
      </c>
      <c r="F36" s="16">
        <f>E36-D36</f>
        <v>0</v>
      </c>
      <c r="G36" s="14">
        <f>E36/D36*100</f>
        <v>100</v>
      </c>
    </row>
    <row r="37" spans="2:7" s="21" customFormat="1" x14ac:dyDescent="0.25">
      <c r="B37" s="21">
        <v>414100</v>
      </c>
      <c r="C37" s="15" t="s">
        <v>28</v>
      </c>
      <c r="D37" s="16">
        <v>115000</v>
      </c>
      <c r="E37" s="16">
        <f>'ОРГАНИЗАЦИОНА 6'!G153+'ОРГАНИЗАЦИОНА 6'!G154</f>
        <v>115000</v>
      </c>
      <c r="F37" s="16">
        <f>E37-D37</f>
        <v>0</v>
      </c>
      <c r="G37" s="14">
        <f>E37/D37*100</f>
        <v>100</v>
      </c>
    </row>
    <row r="38" spans="2:7" s="17" customFormat="1" x14ac:dyDescent="0.25">
      <c r="C38" s="13"/>
      <c r="D38" s="16"/>
      <c r="E38" s="16"/>
      <c r="F38" s="16"/>
      <c r="G38" s="14"/>
    </row>
    <row r="39" spans="2:7" s="17" customFormat="1" x14ac:dyDescent="0.25">
      <c r="B39" s="9">
        <v>415</v>
      </c>
      <c r="C39" s="19" t="s">
        <v>29</v>
      </c>
      <c r="D39" s="12">
        <f>D41</f>
        <v>1396500</v>
      </c>
      <c r="E39" s="12">
        <f>E41</f>
        <v>1827000</v>
      </c>
      <c r="F39" s="12">
        <f>E39-D39</f>
        <v>430500</v>
      </c>
      <c r="G39" s="93">
        <f>E39/D39*100</f>
        <v>130.82706766917295</v>
      </c>
    </row>
    <row r="40" spans="2:7" s="17" customFormat="1" x14ac:dyDescent="0.25">
      <c r="C40" s="13"/>
      <c r="D40" s="16"/>
      <c r="E40" s="16"/>
      <c r="F40" s="16"/>
      <c r="G40" s="14"/>
    </row>
    <row r="41" spans="2:7" s="21" customFormat="1" x14ac:dyDescent="0.25">
      <c r="B41" s="21">
        <v>415200</v>
      </c>
      <c r="C41" s="15" t="s">
        <v>30</v>
      </c>
      <c r="D41" s="115">
        <v>1396500</v>
      </c>
      <c r="E41" s="115">
        <f>'ОРГАНИЗАЦИОНА 6'!G140+'ОРГАНИЗАЦИОНА 6'!G157+'ОРГАНИЗАЦИОНА 6'!G252</f>
        <v>1827000</v>
      </c>
      <c r="F41" s="116">
        <f>E41-D41</f>
        <v>430500</v>
      </c>
      <c r="G41" s="14">
        <f>E41/D41*100</f>
        <v>130.82706766917295</v>
      </c>
    </row>
    <row r="42" spans="2:7" s="17" customFormat="1" x14ac:dyDescent="0.25">
      <c r="C42" s="13"/>
      <c r="D42" s="16"/>
      <c r="E42" s="16"/>
      <c r="F42" s="16"/>
      <c r="G42" s="14"/>
    </row>
    <row r="43" spans="2:7" s="21" customFormat="1" x14ac:dyDescent="0.25">
      <c r="B43" s="9">
        <v>416</v>
      </c>
      <c r="C43" s="19" t="s">
        <v>31</v>
      </c>
      <c r="D43" s="12">
        <f>D45</f>
        <v>1130000</v>
      </c>
      <c r="E43" s="12">
        <f>E45</f>
        <v>1168000</v>
      </c>
      <c r="F43" s="12">
        <f>E43-D43</f>
        <v>38000</v>
      </c>
      <c r="G43" s="93">
        <f>E43/D43*100</f>
        <v>103.36283185840709</v>
      </c>
    </row>
    <row r="44" spans="2:7" s="17" customFormat="1" x14ac:dyDescent="0.25">
      <c r="C44" s="13"/>
      <c r="D44" s="16"/>
      <c r="E44" s="16"/>
      <c r="F44" s="16"/>
      <c r="G44" s="14"/>
    </row>
    <row r="45" spans="2:7" ht="25.5" x14ac:dyDescent="0.25">
      <c r="B45" s="1">
        <v>416100</v>
      </c>
      <c r="C45" s="15" t="s">
        <v>32</v>
      </c>
      <c r="D45" s="115">
        <v>1130000</v>
      </c>
      <c r="E45" s="115">
        <f>'ОРГАНИЗАЦИОНА 6'!G67+'ОРГАНИЗАЦИОНА 6'!G155</f>
        <v>1168000</v>
      </c>
      <c r="F45" s="116">
        <f>E45-D45</f>
        <v>38000</v>
      </c>
      <c r="G45" s="115">
        <f>E45/D45*100</f>
        <v>103.36283185840709</v>
      </c>
    </row>
    <row r="46" spans="2:7" x14ac:dyDescent="0.25">
      <c r="C46" s="15"/>
      <c r="D46" s="100"/>
      <c r="E46" s="100"/>
      <c r="F46" s="100"/>
      <c r="G46" s="14"/>
    </row>
    <row r="47" spans="2:7" x14ac:dyDescent="0.25">
      <c r="B47" s="9">
        <v>419</v>
      </c>
      <c r="C47" s="107" t="s">
        <v>143</v>
      </c>
      <c r="D47" s="12">
        <v>10000</v>
      </c>
      <c r="E47" s="12">
        <f>'ОРГАНИЗАЦИОНА 6'!G66</f>
        <v>3000</v>
      </c>
      <c r="F47" s="117">
        <f>E47-D47</f>
        <v>-7000</v>
      </c>
      <c r="G47" s="93">
        <f>E47/D47*100</f>
        <v>30</v>
      </c>
    </row>
    <row r="48" spans="2:7" x14ac:dyDescent="0.25">
      <c r="C48" s="15"/>
      <c r="G48" s="14"/>
    </row>
    <row r="49" spans="2:7" x14ac:dyDescent="0.25">
      <c r="B49" s="9">
        <v>480</v>
      </c>
      <c r="C49" s="107" t="s">
        <v>146</v>
      </c>
      <c r="D49" s="12">
        <v>4000</v>
      </c>
      <c r="E49" s="12">
        <f>'ОРГАНИЗАЦИОНА 6'!G118</f>
        <v>12000</v>
      </c>
      <c r="F49" s="12">
        <f>E49-D49</f>
        <v>8000</v>
      </c>
      <c r="G49" s="93"/>
    </row>
    <row r="50" spans="2:7" x14ac:dyDescent="0.25">
      <c r="C50" s="15"/>
      <c r="G50" s="14"/>
    </row>
    <row r="51" spans="2:7" ht="14.25" x14ac:dyDescent="0.25">
      <c r="B51" s="25" t="s">
        <v>33</v>
      </c>
      <c r="C51" s="26" t="s">
        <v>10</v>
      </c>
      <c r="D51" s="47">
        <v>100000</v>
      </c>
      <c r="E51" s="47">
        <v>32000</v>
      </c>
      <c r="F51" s="47">
        <f>E51-D51:D52</f>
        <v>-68000</v>
      </c>
      <c r="G51" s="96">
        <v>0</v>
      </c>
    </row>
    <row r="52" spans="2:7" ht="22.5" customHeight="1" x14ac:dyDescent="0.25">
      <c r="C52" s="15"/>
      <c r="G52" s="14"/>
    </row>
    <row r="53" spans="2:7" s="17" customFormat="1" ht="14.25" customHeight="1" x14ac:dyDescent="0.25">
      <c r="B53" s="5">
        <v>51</v>
      </c>
      <c r="C53" s="6" t="s">
        <v>34</v>
      </c>
      <c r="D53" s="27">
        <f>D55+D64+D68</f>
        <v>4109000</v>
      </c>
      <c r="E53" s="27">
        <f>E55+E64+E68</f>
        <v>7649450</v>
      </c>
      <c r="F53" s="27">
        <f>E53-D53</f>
        <v>3540450</v>
      </c>
      <c r="G53" s="98">
        <f>E53/D53*100</f>
        <v>186.16330007301048</v>
      </c>
    </row>
    <row r="54" spans="2:7" s="17" customFormat="1" ht="14.25" customHeight="1" x14ac:dyDescent="0.25">
      <c r="C54" s="13"/>
      <c r="D54" s="16"/>
      <c r="E54" s="16"/>
      <c r="F54" s="16"/>
      <c r="G54" s="14"/>
    </row>
    <row r="55" spans="2:7" s="17" customFormat="1" ht="14.25" customHeight="1" x14ac:dyDescent="0.25">
      <c r="B55" s="28">
        <v>511</v>
      </c>
      <c r="C55" s="29" t="s">
        <v>35</v>
      </c>
      <c r="D55" s="12">
        <f>D57+D58+D59+D60+D61+D62</f>
        <v>3484000</v>
      </c>
      <c r="E55" s="12">
        <f>E57+E58+E59+E60+E61+E62</f>
        <v>7162450</v>
      </c>
      <c r="F55" s="12">
        <f>E55-D55</f>
        <v>3678450</v>
      </c>
      <c r="G55" s="93">
        <f>E55/D55*100</f>
        <v>205.58122847301954</v>
      </c>
    </row>
    <row r="56" spans="2:7" s="17" customFormat="1" ht="14.25" customHeight="1" x14ac:dyDescent="0.25">
      <c r="C56" s="13"/>
      <c r="D56" s="16"/>
      <c r="E56" s="16"/>
      <c r="F56" s="16"/>
      <c r="G56" s="14"/>
    </row>
    <row r="57" spans="2:7" s="21" customFormat="1" ht="14.25" customHeight="1" x14ac:dyDescent="0.25">
      <c r="B57" s="118">
        <v>511100</v>
      </c>
      <c r="C57" s="119" t="s">
        <v>36</v>
      </c>
      <c r="D57" s="115">
        <v>3430000</v>
      </c>
      <c r="E57" s="115">
        <f>'ОРГАНИЗАЦИОНА 6'!G256+'ОРГАНИЗАЦИОНА 6'!G257+'ОРГАНИЗАЦИОНА 6'!G260+'ОРГАНИЗАЦИОНА 6'!G261+'ОРГАНИЗАЦИОНА 6'!G263+'ОРГАНИЗАЦИОНА 6'!G267+'ОРГАНИЗАЦИОНА 6'!G268</f>
        <v>6989000</v>
      </c>
      <c r="F57" s="116">
        <f>E57-D57</f>
        <v>3559000</v>
      </c>
      <c r="G57" s="115">
        <f>E57/D57*100</f>
        <v>203.7609329446064</v>
      </c>
    </row>
    <row r="58" spans="2:7" s="21" customFormat="1" ht="25.5" customHeight="1" x14ac:dyDescent="0.25">
      <c r="B58" s="118">
        <v>511200</v>
      </c>
      <c r="C58" s="119" t="s">
        <v>37</v>
      </c>
      <c r="D58" s="115">
        <v>43000</v>
      </c>
      <c r="E58" s="115">
        <f>'ОРГАНИЗАЦИОНА 6'!G269+'ОРГАНИЗАЦИОНА 6'!G266+'ОРГАНИЗАЦИОНА 6'!G265</f>
        <v>65000</v>
      </c>
      <c r="F58" s="116">
        <f t="shared" ref="F58:F62" si="4">E58-D58</f>
        <v>22000</v>
      </c>
      <c r="G58" s="115">
        <f t="shared" ref="G58:G62" si="5">E58/D58*100</f>
        <v>151.16279069767441</v>
      </c>
    </row>
    <row r="59" spans="2:7" s="21" customFormat="1" ht="14.25" customHeight="1" x14ac:dyDescent="0.25">
      <c r="B59" s="118">
        <v>511300</v>
      </c>
      <c r="C59" s="119" t="s">
        <v>38</v>
      </c>
      <c r="D59" s="115">
        <v>10000</v>
      </c>
      <c r="E59" s="115">
        <f>'ОРГАНИЗАЦИОНА 6'!G121+'ОРГАНИЗАЦИОНА 6'!G122+'ОРГАНИЗАЦИОНА 6'!G124+'ОРГАНИЗАЦИОНА 6'!G85+'ОРГАНИЗАЦИОНА 6'!G86</f>
        <v>108450</v>
      </c>
      <c r="F59" s="116">
        <f t="shared" si="4"/>
        <v>98450</v>
      </c>
      <c r="G59" s="115">
        <f t="shared" si="5"/>
        <v>1084.5</v>
      </c>
    </row>
    <row r="60" spans="2:7" s="21" customFormat="1" ht="14.25" customHeight="1" x14ac:dyDescent="0.25">
      <c r="B60" s="118">
        <v>511400</v>
      </c>
      <c r="C60" s="119" t="s">
        <v>39</v>
      </c>
      <c r="D60" s="115">
        <v>0</v>
      </c>
      <c r="E60" s="115">
        <v>0</v>
      </c>
      <c r="F60" s="116">
        <f t="shared" si="4"/>
        <v>0</v>
      </c>
      <c r="G60" s="115"/>
    </row>
    <row r="61" spans="2:7" s="21" customFormat="1" ht="14.25" customHeight="1" x14ac:dyDescent="0.25">
      <c r="B61" s="118">
        <v>511500</v>
      </c>
      <c r="C61" s="119" t="s">
        <v>40</v>
      </c>
      <c r="D61" s="115">
        <v>0</v>
      </c>
      <c r="E61" s="115">
        <v>0</v>
      </c>
      <c r="F61" s="116">
        <f t="shared" si="4"/>
        <v>0</v>
      </c>
      <c r="G61" s="115"/>
    </row>
    <row r="62" spans="2:7" s="21" customFormat="1" ht="14.25" customHeight="1" x14ac:dyDescent="0.25">
      <c r="B62" s="118">
        <v>511700</v>
      </c>
      <c r="C62" s="119" t="s">
        <v>41</v>
      </c>
      <c r="D62" s="115">
        <v>1000</v>
      </c>
      <c r="E62" s="115">
        <v>0</v>
      </c>
      <c r="F62" s="116">
        <f t="shared" si="4"/>
        <v>-1000</v>
      </c>
      <c r="G62" s="115">
        <f t="shared" si="5"/>
        <v>0</v>
      </c>
    </row>
    <row r="63" spans="2:7" s="17" customFormat="1" ht="14.25" customHeight="1" x14ac:dyDescent="0.25">
      <c r="C63" s="13"/>
      <c r="D63" s="16"/>
      <c r="E63" s="16"/>
      <c r="F63" s="16"/>
      <c r="G63" s="14"/>
    </row>
    <row r="64" spans="2:7" ht="14.25" customHeight="1" x14ac:dyDescent="0.25">
      <c r="B64" s="9">
        <v>513</v>
      </c>
      <c r="C64" s="19" t="s">
        <v>42</v>
      </c>
      <c r="D64" s="12">
        <f>D66</f>
        <v>612000</v>
      </c>
      <c r="E64" s="12">
        <f>E66</f>
        <v>472500</v>
      </c>
      <c r="F64" s="12">
        <f>F66</f>
        <v>-139500</v>
      </c>
      <c r="G64" s="93">
        <f>E64/D64*100</f>
        <v>77.205882352941174</v>
      </c>
    </row>
    <row r="65" spans="2:7" s="17" customFormat="1" ht="14.25" customHeight="1" x14ac:dyDescent="0.25">
      <c r="C65" s="13"/>
      <c r="D65" s="16"/>
      <c r="E65" s="16"/>
      <c r="F65" s="16"/>
      <c r="G65" s="14"/>
    </row>
    <row r="66" spans="2:7" s="21" customFormat="1" ht="14.25" customHeight="1" x14ac:dyDescent="0.25">
      <c r="B66" s="21">
        <v>513100</v>
      </c>
      <c r="C66" s="15" t="s">
        <v>43</v>
      </c>
      <c r="D66" s="115">
        <v>612000</v>
      </c>
      <c r="E66" s="115">
        <f>'ОРГАНИЗАЦИОНА 6'!G222+'ОРГАНИЗАЦИОНА 6'!G223</f>
        <v>472500</v>
      </c>
      <c r="F66" s="115">
        <f>E66-D66</f>
        <v>-139500</v>
      </c>
      <c r="G66" s="115">
        <f>E66/D66*100</f>
        <v>77.205882352941174</v>
      </c>
    </row>
    <row r="67" spans="2:7" s="17" customFormat="1" ht="14.25" customHeight="1" x14ac:dyDescent="0.25">
      <c r="C67" s="13"/>
      <c r="D67" s="16"/>
      <c r="E67" s="16"/>
      <c r="F67" s="16"/>
      <c r="G67" s="14"/>
    </row>
    <row r="68" spans="2:7" ht="24.75" customHeight="1" x14ac:dyDescent="0.25">
      <c r="B68" s="9">
        <v>516</v>
      </c>
      <c r="C68" s="19" t="s">
        <v>44</v>
      </c>
      <c r="D68" s="12">
        <f>D70</f>
        <v>13000</v>
      </c>
      <c r="E68" s="12">
        <f>E70</f>
        <v>14500</v>
      </c>
      <c r="F68" s="12">
        <f>E68-D68</f>
        <v>1500</v>
      </c>
      <c r="G68" s="93">
        <f>E68/D68*100</f>
        <v>111.53846153846155</v>
      </c>
    </row>
    <row r="69" spans="2:7" s="17" customFormat="1" ht="14.25" customHeight="1" x14ac:dyDescent="0.25">
      <c r="C69" s="13"/>
      <c r="D69" s="16"/>
      <c r="E69" s="16"/>
      <c r="F69" s="16"/>
      <c r="G69" s="14"/>
    </row>
    <row r="70" spans="2:7" s="21" customFormat="1" ht="14.25" customHeight="1" x14ac:dyDescent="0.25">
      <c r="B70" s="118">
        <v>516100</v>
      </c>
      <c r="C70" s="119" t="s">
        <v>45</v>
      </c>
      <c r="D70" s="115">
        <v>13000</v>
      </c>
      <c r="E70" s="115">
        <f>'ОРГАНИЗАЦИОНА 6'!G126</f>
        <v>14500</v>
      </c>
      <c r="F70" s="115">
        <f>E70-D70</f>
        <v>1500</v>
      </c>
      <c r="G70" s="115">
        <f>E70/D70*100</f>
        <v>111.53846153846155</v>
      </c>
    </row>
    <row r="71" spans="2:7" s="17" customFormat="1" ht="14.25" customHeight="1" x14ac:dyDescent="0.25">
      <c r="C71" s="13"/>
      <c r="D71" s="16"/>
      <c r="E71" s="16"/>
      <c r="F71" s="16"/>
      <c r="G71" s="14"/>
    </row>
    <row r="72" spans="2:7" s="17" customFormat="1" ht="20.25" customHeight="1" x14ac:dyDescent="0.25">
      <c r="B72" s="328">
        <v>638</v>
      </c>
      <c r="C72" s="329" t="s">
        <v>377</v>
      </c>
      <c r="D72" s="318">
        <f>D74</f>
        <v>0</v>
      </c>
      <c r="E72" s="318">
        <f>E74</f>
        <v>1000</v>
      </c>
      <c r="F72" s="318">
        <f>F74</f>
        <v>1000</v>
      </c>
      <c r="G72" s="319">
        <v>0</v>
      </c>
    </row>
    <row r="73" spans="2:7" s="17" customFormat="1" ht="14.25" customHeight="1" x14ac:dyDescent="0.25">
      <c r="C73" s="13"/>
      <c r="D73" s="16"/>
      <c r="E73" s="16"/>
      <c r="F73" s="16"/>
      <c r="G73" s="14"/>
    </row>
    <row r="74" spans="2:7" s="17" customFormat="1" ht="14.25" customHeight="1" x14ac:dyDescent="0.25">
      <c r="B74" s="17">
        <v>638100</v>
      </c>
      <c r="C74" s="13" t="s">
        <v>378</v>
      </c>
      <c r="D74" s="14">
        <v>0</v>
      </c>
      <c r="E74" s="14">
        <v>1000</v>
      </c>
      <c r="F74" s="14">
        <v>1000</v>
      </c>
      <c r="G74" s="14"/>
    </row>
    <row r="75" spans="2:7" s="17" customFormat="1" ht="14.25" customHeight="1" x14ac:dyDescent="0.25">
      <c r="C75" s="13"/>
      <c r="D75" s="16"/>
      <c r="E75" s="16"/>
      <c r="F75" s="16"/>
      <c r="G75" s="14"/>
    </row>
    <row r="76" spans="2:7" s="17" customFormat="1" ht="14.25" customHeight="1" x14ac:dyDescent="0.25">
      <c r="B76" s="30"/>
      <c r="C76" s="31" t="s">
        <v>5</v>
      </c>
      <c r="D76" s="33">
        <f>D53+D51+D7</f>
        <v>9510828</v>
      </c>
      <c r="E76" s="33">
        <f>E53+E51+E7+E72</f>
        <v>13721790</v>
      </c>
      <c r="F76" s="33">
        <f>E76-D76</f>
        <v>4210962</v>
      </c>
      <c r="G76" s="91">
        <f>E76/D76*100</f>
        <v>144.2754510963714</v>
      </c>
    </row>
    <row r="77" spans="2:7" s="17" customFormat="1" ht="14.25" customHeight="1" x14ac:dyDescent="0.25">
      <c r="C77" s="13"/>
      <c r="D77" s="14"/>
      <c r="E77" s="14"/>
      <c r="F77" s="14"/>
      <c r="G77" s="14"/>
    </row>
    <row r="78" spans="2:7" s="17" customFormat="1" x14ac:dyDescent="0.25">
      <c r="C78" s="13"/>
      <c r="D78" s="14"/>
      <c r="E78" s="14"/>
      <c r="F78" s="14"/>
      <c r="G78" s="14"/>
    </row>
    <row r="79" spans="2:7" s="17" customFormat="1" ht="14.25" x14ac:dyDescent="0.25">
      <c r="B79" s="34"/>
      <c r="C79" s="34"/>
      <c r="D79" s="35"/>
      <c r="E79" s="35"/>
      <c r="F79" s="35"/>
      <c r="G79" s="35"/>
    </row>
    <row r="80" spans="2:7" s="17" customFormat="1" x14ac:dyDescent="0.25">
      <c r="B80" s="36"/>
      <c r="C80" s="37"/>
      <c r="D80" s="38"/>
      <c r="E80" s="38"/>
      <c r="F80" s="38"/>
      <c r="G80" s="38"/>
    </row>
    <row r="81" spans="2:7" s="17" customFormat="1" ht="15" customHeight="1" x14ac:dyDescent="0.25">
      <c r="B81" s="34"/>
      <c r="C81" s="34"/>
      <c r="D81" s="39"/>
      <c r="E81" s="39"/>
      <c r="F81" s="39"/>
      <c r="G81" s="39"/>
    </row>
    <row r="82" spans="2:7" s="17" customFormat="1" x14ac:dyDescent="0.25">
      <c r="B82" s="36"/>
      <c r="C82" s="37"/>
      <c r="D82" s="38"/>
      <c r="E82" s="38"/>
      <c r="F82" s="38"/>
      <c r="G82" s="38"/>
    </row>
    <row r="83" spans="2:7" x14ac:dyDescent="0.25">
      <c r="B83" s="40"/>
      <c r="C83" s="41"/>
      <c r="D83" s="38"/>
      <c r="E83" s="38"/>
      <c r="F83" s="38"/>
      <c r="G83" s="38"/>
    </row>
    <row r="84" spans="2:7" s="17" customFormat="1" x14ac:dyDescent="0.25">
      <c r="B84" s="36"/>
      <c r="C84" s="37"/>
      <c r="D84" s="38"/>
      <c r="E84" s="38"/>
      <c r="F84" s="38"/>
      <c r="G84" s="38"/>
    </row>
    <row r="85" spans="2:7" s="17" customFormat="1" x14ac:dyDescent="0.25">
      <c r="B85" s="34"/>
      <c r="C85" s="34"/>
      <c r="D85" s="39"/>
      <c r="E85" s="39"/>
      <c r="F85" s="39"/>
      <c r="G85" s="39"/>
    </row>
    <row r="86" spans="2:7" s="17" customFormat="1" x14ac:dyDescent="0.25">
      <c r="B86" s="36"/>
      <c r="C86" s="37"/>
      <c r="D86" s="38"/>
      <c r="E86" s="38"/>
      <c r="F86" s="38"/>
      <c r="G86" s="38"/>
    </row>
    <row r="87" spans="2:7" s="17" customFormat="1" x14ac:dyDescent="0.25">
      <c r="B87" s="40"/>
      <c r="C87" s="41"/>
      <c r="D87" s="38"/>
      <c r="E87" s="38"/>
      <c r="F87" s="38"/>
      <c r="G87" s="38"/>
    </row>
    <row r="88" spans="2:7" s="17" customFormat="1" x14ac:dyDescent="0.25">
      <c r="B88" s="36"/>
      <c r="C88" s="37"/>
      <c r="D88" s="38"/>
      <c r="E88" s="38"/>
      <c r="F88" s="38"/>
      <c r="G88" s="38"/>
    </row>
    <row r="89" spans="2:7" s="17" customFormat="1" ht="15.75" x14ac:dyDescent="0.25">
      <c r="B89" s="34"/>
      <c r="C89" s="34"/>
      <c r="D89" s="42"/>
      <c r="E89" s="42"/>
      <c r="F89" s="42"/>
      <c r="G89" s="42"/>
    </row>
    <row r="90" spans="2:7" s="43" customFormat="1" x14ac:dyDescent="0.25">
      <c r="B90" s="40"/>
      <c r="C90" s="41"/>
      <c r="D90" s="39"/>
      <c r="E90" s="39"/>
      <c r="F90" s="39"/>
      <c r="G90" s="39"/>
    </row>
    <row r="91" spans="2:7" s="43" customFormat="1" x14ac:dyDescent="0.25">
      <c r="B91" s="40"/>
      <c r="C91" s="41"/>
      <c r="D91" s="39"/>
      <c r="E91" s="39"/>
      <c r="F91" s="39"/>
      <c r="G91" s="39"/>
    </row>
    <row r="92" spans="2:7" s="43" customFormat="1" x14ac:dyDescent="0.25">
      <c r="B92" s="40"/>
      <c r="C92" s="37"/>
      <c r="D92" s="38"/>
      <c r="E92" s="38"/>
      <c r="F92" s="38"/>
      <c r="G92" s="38"/>
    </row>
    <row r="93" spans="2:7" s="43" customFormat="1" x14ac:dyDescent="0.25">
      <c r="B93" s="40"/>
      <c r="C93" s="41"/>
      <c r="D93" s="39"/>
      <c r="E93" s="39"/>
      <c r="F93" s="39"/>
      <c r="G93" s="39"/>
    </row>
    <row r="94" spans="2:7" s="17" customFormat="1" x14ac:dyDescent="0.25">
      <c r="B94" s="36"/>
      <c r="C94" s="37"/>
      <c r="D94" s="38"/>
      <c r="E94" s="38"/>
      <c r="F94" s="38"/>
      <c r="G94" s="38"/>
    </row>
    <row r="95" spans="2:7" s="45" customFormat="1" ht="15.75" x14ac:dyDescent="0.25">
      <c r="B95" s="44"/>
      <c r="C95" s="44"/>
      <c r="D95" s="42"/>
      <c r="E95" s="42"/>
      <c r="F95" s="42"/>
      <c r="G95" s="42"/>
    </row>
    <row r="96" spans="2:7" s="17" customFormat="1" x14ac:dyDescent="0.25">
      <c r="C96" s="13"/>
      <c r="D96" s="14"/>
      <c r="E96" s="14"/>
      <c r="F96" s="14"/>
      <c r="G96" s="14"/>
    </row>
    <row r="97" spans="3:7" s="17" customFormat="1" x14ac:dyDescent="0.25">
      <c r="C97" s="13"/>
      <c r="D97" s="14"/>
      <c r="E97" s="14"/>
      <c r="F97" s="14"/>
      <c r="G97" s="14"/>
    </row>
    <row r="98" spans="3:7" s="17" customFormat="1" x14ac:dyDescent="0.25">
      <c r="C98" s="13"/>
      <c r="D98" s="14"/>
      <c r="E98" s="14"/>
      <c r="F98" s="14"/>
      <c r="G98" s="14"/>
    </row>
    <row r="99" spans="3:7" s="17" customFormat="1" x14ac:dyDescent="0.25">
      <c r="C99" s="13"/>
      <c r="D99" s="14"/>
      <c r="E99" s="14"/>
      <c r="F99" s="14"/>
      <c r="G99" s="14"/>
    </row>
    <row r="100" spans="3:7" s="17" customFormat="1" x14ac:dyDescent="0.25">
      <c r="C100" s="13"/>
      <c r="D100" s="14"/>
      <c r="E100" s="14"/>
      <c r="F100" s="14"/>
      <c r="G100" s="14"/>
    </row>
    <row r="101" spans="3:7" s="17" customFormat="1" x14ac:dyDescent="0.25">
      <c r="C101" s="13"/>
      <c r="D101" s="14"/>
      <c r="E101" s="14"/>
      <c r="F101" s="14"/>
      <c r="G101" s="14"/>
    </row>
    <row r="102" spans="3:7" s="17" customFormat="1" x14ac:dyDescent="0.25">
      <c r="C102" s="13"/>
      <c r="D102" s="14"/>
      <c r="E102" s="14"/>
      <c r="F102" s="14"/>
      <c r="G102" s="14"/>
    </row>
    <row r="103" spans="3:7" s="17" customFormat="1" x14ac:dyDescent="0.25">
      <c r="C103" s="13"/>
      <c r="D103" s="14"/>
      <c r="E103" s="14"/>
      <c r="F103" s="14"/>
      <c r="G103" s="14"/>
    </row>
    <row r="104" spans="3:7" s="17" customFormat="1" x14ac:dyDescent="0.25">
      <c r="C104" s="13"/>
      <c r="D104" s="14"/>
      <c r="E104" s="14"/>
      <c r="F104" s="14"/>
      <c r="G104" s="14"/>
    </row>
    <row r="105" spans="3:7" s="17" customFormat="1" x14ac:dyDescent="0.25">
      <c r="C105" s="13"/>
      <c r="D105" s="14"/>
      <c r="E105" s="14"/>
      <c r="F105" s="14"/>
      <c r="G105" s="14"/>
    </row>
    <row r="106" spans="3:7" s="17" customFormat="1" x14ac:dyDescent="0.25">
      <c r="C106" s="13"/>
      <c r="D106" s="14"/>
      <c r="E106" s="14"/>
      <c r="F106" s="14"/>
      <c r="G106" s="14"/>
    </row>
    <row r="107" spans="3:7" s="17" customFormat="1" x14ac:dyDescent="0.25">
      <c r="C107" s="13"/>
      <c r="D107" s="14"/>
      <c r="E107" s="14"/>
      <c r="F107" s="14"/>
      <c r="G107" s="14"/>
    </row>
  </sheetData>
  <mergeCells count="1">
    <mergeCell ref="B2:G2"/>
  </mergeCells>
  <pageMargins left="0.23622047244094499" right="0.23622047244094499" top="0.74803149606299202" bottom="0.74803149606299202" header="0.31496062992126" footer="0.31496062992126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77"/>
  <sheetViews>
    <sheetView topLeftCell="A124" workbookViewId="0">
      <selection activeCell="D288" sqref="D288"/>
    </sheetView>
  </sheetViews>
  <sheetFormatPr defaultRowHeight="15" x14ac:dyDescent="0.25"/>
  <cols>
    <col min="2" max="3" width="9.42578125" customWidth="1"/>
    <col min="4" max="4" width="84.7109375" customWidth="1"/>
    <col min="5" max="7" width="27.5703125" customWidth="1"/>
  </cols>
  <sheetData>
    <row r="2" spans="2:7" x14ac:dyDescent="0.25">
      <c r="B2" s="353" t="s">
        <v>350</v>
      </c>
      <c r="C2" s="354"/>
      <c r="D2" s="354"/>
      <c r="E2" s="354"/>
      <c r="F2" s="354"/>
      <c r="G2" s="354"/>
    </row>
    <row r="3" spans="2:7" ht="15.75" x14ac:dyDescent="0.25">
      <c r="B3" s="355" t="s">
        <v>0</v>
      </c>
      <c r="C3" s="355"/>
      <c r="D3" s="146" t="s">
        <v>1</v>
      </c>
      <c r="E3" s="147" t="s">
        <v>351</v>
      </c>
      <c r="F3" s="147" t="s">
        <v>352</v>
      </c>
      <c r="G3" s="147" t="s">
        <v>353</v>
      </c>
    </row>
    <row r="4" spans="2:7" x14ac:dyDescent="0.25">
      <c r="B4" s="356">
        <v>1</v>
      </c>
      <c r="C4" s="356"/>
      <c r="D4" s="148">
        <v>2</v>
      </c>
      <c r="E4" s="149">
        <v>3</v>
      </c>
      <c r="F4" s="149">
        <v>4</v>
      </c>
      <c r="G4" s="149">
        <v>5</v>
      </c>
    </row>
    <row r="5" spans="2:7" x14ac:dyDescent="0.25">
      <c r="B5" s="150"/>
      <c r="C5" s="150"/>
      <c r="D5" s="151" t="s">
        <v>164</v>
      </c>
      <c r="E5" s="152"/>
      <c r="F5" s="152"/>
      <c r="G5" s="152"/>
    </row>
    <row r="6" spans="2:7" x14ac:dyDescent="0.25">
      <c r="B6" s="150"/>
      <c r="C6" s="150"/>
      <c r="D6" s="151" t="s">
        <v>165</v>
      </c>
      <c r="E6" s="152"/>
      <c r="F6" s="152"/>
      <c r="G6" s="152"/>
    </row>
    <row r="7" spans="2:7" x14ac:dyDescent="0.25">
      <c r="B7" s="153">
        <v>410000</v>
      </c>
      <c r="C7" s="154"/>
      <c r="D7" s="154" t="s">
        <v>166</v>
      </c>
      <c r="E7" s="155">
        <f>E8+E10+E12+E15+E18</f>
        <v>260500</v>
      </c>
      <c r="F7" s="155"/>
      <c r="G7" s="155"/>
    </row>
    <row r="8" spans="2:7" x14ac:dyDescent="0.25">
      <c r="B8" s="156">
        <v>412100</v>
      </c>
      <c r="C8" s="157"/>
      <c r="D8" s="157" t="s">
        <v>2</v>
      </c>
      <c r="E8" s="158">
        <f>E9</f>
        <v>3000</v>
      </c>
      <c r="F8" s="158">
        <f>F9</f>
        <v>1043</v>
      </c>
      <c r="G8" s="158">
        <f>G9</f>
        <v>2000</v>
      </c>
    </row>
    <row r="9" spans="2:7" ht="29.25" x14ac:dyDescent="0.25">
      <c r="B9" s="159"/>
      <c r="C9" s="150"/>
      <c r="D9" s="160" t="s">
        <v>354</v>
      </c>
      <c r="E9" s="161">
        <v>3000</v>
      </c>
      <c r="F9" s="161">
        <v>1043</v>
      </c>
      <c r="G9" s="161">
        <v>2000</v>
      </c>
    </row>
    <row r="10" spans="2:7" x14ac:dyDescent="0.25">
      <c r="B10" s="156">
        <v>412300</v>
      </c>
      <c r="C10" s="157"/>
      <c r="D10" s="157" t="s">
        <v>167</v>
      </c>
      <c r="E10" s="158">
        <f>E11</f>
        <v>3500</v>
      </c>
      <c r="F10" s="158">
        <f>F11</f>
        <v>0</v>
      </c>
      <c r="G10" s="158">
        <f>G11</f>
        <v>0</v>
      </c>
    </row>
    <row r="11" spans="2:7" x14ac:dyDescent="0.25">
      <c r="B11" s="159"/>
      <c r="C11" s="150"/>
      <c r="D11" s="150" t="s">
        <v>168</v>
      </c>
      <c r="E11" s="161">
        <v>3500</v>
      </c>
      <c r="F11" s="161">
        <v>0</v>
      </c>
      <c r="G11" s="161">
        <v>0</v>
      </c>
    </row>
    <row r="12" spans="2:7" x14ac:dyDescent="0.25">
      <c r="B12" s="156">
        <v>412600</v>
      </c>
      <c r="C12" s="157"/>
      <c r="D12" s="157" t="s">
        <v>3</v>
      </c>
      <c r="E12" s="158">
        <f>E13+E14</f>
        <v>3000</v>
      </c>
      <c r="F12" s="158">
        <f>F13+F14</f>
        <v>1758.07</v>
      </c>
      <c r="G12" s="158">
        <f>G13+G14</f>
        <v>3000</v>
      </c>
    </row>
    <row r="13" spans="2:7" x14ac:dyDescent="0.25">
      <c r="B13" s="159"/>
      <c r="C13" s="150"/>
      <c r="D13" s="150" t="s">
        <v>169</v>
      </c>
      <c r="E13" s="161">
        <v>1000</v>
      </c>
      <c r="F13" s="161">
        <v>600.29</v>
      </c>
      <c r="G13" s="161">
        <v>1000</v>
      </c>
    </row>
    <row r="14" spans="2:7" x14ac:dyDescent="0.25">
      <c r="B14" s="159"/>
      <c r="C14" s="150"/>
      <c r="D14" s="150" t="s">
        <v>170</v>
      </c>
      <c r="E14" s="161">
        <v>2000</v>
      </c>
      <c r="F14" s="161">
        <v>1157.78</v>
      </c>
      <c r="G14" s="161">
        <v>2000</v>
      </c>
    </row>
    <row r="15" spans="2:7" x14ac:dyDescent="0.25">
      <c r="B15" s="156">
        <v>412700</v>
      </c>
      <c r="C15" s="157"/>
      <c r="D15" s="157" t="s">
        <v>171</v>
      </c>
      <c r="E15" s="158">
        <f>E16+E17</f>
        <v>8000</v>
      </c>
      <c r="F15" s="158">
        <f>F16</f>
        <v>6987.7</v>
      </c>
      <c r="G15" s="158">
        <f>G16</f>
        <v>7000</v>
      </c>
    </row>
    <row r="16" spans="2:7" x14ac:dyDescent="0.25">
      <c r="B16" s="162"/>
      <c r="C16" s="163"/>
      <c r="D16" s="163" t="s">
        <v>172</v>
      </c>
      <c r="E16" s="161">
        <v>7000</v>
      </c>
      <c r="F16" s="161">
        <v>6987.7</v>
      </c>
      <c r="G16" s="161">
        <f>7000</f>
        <v>7000</v>
      </c>
    </row>
    <row r="17" spans="2:7" x14ac:dyDescent="0.25">
      <c r="B17" s="162"/>
      <c r="C17" s="163"/>
      <c r="D17" s="163" t="s">
        <v>173</v>
      </c>
      <c r="E17" s="161">
        <v>1000</v>
      </c>
      <c r="F17" s="161"/>
      <c r="G17" s="161"/>
    </row>
    <row r="18" spans="2:7" x14ac:dyDescent="0.25">
      <c r="B18" s="156">
        <v>412900</v>
      </c>
      <c r="C18" s="157"/>
      <c r="D18" s="157" t="s">
        <v>4</v>
      </c>
      <c r="E18" s="158">
        <f>SUM(E19:E25)</f>
        <v>243000</v>
      </c>
      <c r="F18" s="158">
        <f>F19+F20+F21+F22+F23+F24+F25</f>
        <v>172431.46000000002</v>
      </c>
      <c r="G18" s="158">
        <f>G19+G20+G21+G22+G23+G24+G25</f>
        <v>245100</v>
      </c>
    </row>
    <row r="19" spans="2:7" x14ac:dyDescent="0.25">
      <c r="B19" s="159"/>
      <c r="C19" s="150"/>
      <c r="D19" s="150" t="s">
        <v>174</v>
      </c>
      <c r="E19" s="161">
        <v>205000</v>
      </c>
      <c r="F19" s="161">
        <v>138754.22</v>
      </c>
      <c r="G19" s="161">
        <v>208000</v>
      </c>
    </row>
    <row r="20" spans="2:7" x14ac:dyDescent="0.25">
      <c r="B20" s="164"/>
      <c r="C20" s="165"/>
      <c r="D20" s="165" t="s">
        <v>355</v>
      </c>
      <c r="E20" s="166">
        <v>11000</v>
      </c>
      <c r="F20" s="166">
        <v>5494.16</v>
      </c>
      <c r="G20" s="166">
        <v>8300</v>
      </c>
    </row>
    <row r="21" spans="2:7" x14ac:dyDescent="0.25">
      <c r="B21" s="150"/>
      <c r="C21" s="150"/>
      <c r="D21" s="163" t="s">
        <v>175</v>
      </c>
      <c r="E21" s="161">
        <v>16000</v>
      </c>
      <c r="F21" s="161">
        <v>26571.66</v>
      </c>
      <c r="G21" s="161">
        <v>26600</v>
      </c>
    </row>
    <row r="22" spans="2:7" x14ac:dyDescent="0.25">
      <c r="B22" s="150"/>
      <c r="C22" s="150"/>
      <c r="D22" s="163" t="s">
        <v>176</v>
      </c>
      <c r="E22" s="161">
        <v>5000</v>
      </c>
      <c r="F22" s="161">
        <v>728.5</v>
      </c>
      <c r="G22" s="161">
        <v>1000</v>
      </c>
    </row>
    <row r="23" spans="2:7" x14ac:dyDescent="0.25">
      <c r="B23" s="150"/>
      <c r="C23" s="150"/>
      <c r="D23" s="163" t="s">
        <v>177</v>
      </c>
      <c r="E23" s="161">
        <v>2000</v>
      </c>
      <c r="F23" s="161">
        <v>0</v>
      </c>
      <c r="G23" s="161">
        <v>0</v>
      </c>
    </row>
    <row r="24" spans="2:7" x14ac:dyDescent="0.25">
      <c r="B24" s="150"/>
      <c r="C24" s="150"/>
      <c r="D24" s="167" t="s">
        <v>178</v>
      </c>
      <c r="E24" s="161">
        <v>3000</v>
      </c>
      <c r="F24" s="161">
        <v>0</v>
      </c>
      <c r="G24" s="161">
        <v>0</v>
      </c>
    </row>
    <row r="25" spans="2:7" x14ac:dyDescent="0.25">
      <c r="B25" s="163"/>
      <c r="C25" s="163"/>
      <c r="D25" s="167" t="s">
        <v>179</v>
      </c>
      <c r="E25" s="161">
        <v>1000</v>
      </c>
      <c r="F25" s="161">
        <f>175.06+707.86</f>
        <v>882.92000000000007</v>
      </c>
      <c r="G25" s="161">
        <v>1200</v>
      </c>
    </row>
    <row r="26" spans="2:7" x14ac:dyDescent="0.25">
      <c r="B26" s="168">
        <v>510000</v>
      </c>
      <c r="C26" s="169"/>
      <c r="D26" s="169" t="s">
        <v>180</v>
      </c>
      <c r="E26" s="170">
        <f>E28</f>
        <v>0</v>
      </c>
      <c r="F26" s="170">
        <f>F28</f>
        <v>0</v>
      </c>
      <c r="G26" s="170">
        <f>G28</f>
        <v>0</v>
      </c>
    </row>
    <row r="27" spans="2:7" x14ac:dyDescent="0.25">
      <c r="B27" s="150">
        <v>511300</v>
      </c>
      <c r="C27" s="150"/>
      <c r="D27" s="150" t="s">
        <v>181</v>
      </c>
      <c r="E27" s="161"/>
      <c r="F27" s="161"/>
      <c r="G27" s="161"/>
    </row>
    <row r="28" spans="2:7" x14ac:dyDescent="0.25">
      <c r="B28" s="150"/>
      <c r="C28" s="150"/>
      <c r="D28" s="150" t="s">
        <v>182</v>
      </c>
      <c r="E28" s="161">
        <v>0</v>
      </c>
      <c r="F28" s="161">
        <v>0</v>
      </c>
      <c r="G28" s="161">
        <v>0</v>
      </c>
    </row>
    <row r="29" spans="2:7" x14ac:dyDescent="0.25">
      <c r="B29" s="346" t="s">
        <v>5</v>
      </c>
      <c r="C29" s="346"/>
      <c r="D29" s="346"/>
      <c r="E29" s="171">
        <f>E26+E7</f>
        <v>260500</v>
      </c>
      <c r="F29" s="171">
        <f>F26+F18+F15+F12+F10+F8</f>
        <v>182220.23000000004</v>
      </c>
      <c r="G29" s="171">
        <f>G26+G18+G15+G12+G10+G8</f>
        <v>257100</v>
      </c>
    </row>
    <row r="30" spans="2:7" x14ac:dyDescent="0.25">
      <c r="B30" s="150"/>
      <c r="C30" s="150"/>
      <c r="D30" s="150"/>
      <c r="E30" s="152"/>
      <c r="F30" s="152"/>
      <c r="G30" s="152"/>
    </row>
    <row r="31" spans="2:7" x14ac:dyDescent="0.25">
      <c r="B31" s="150"/>
      <c r="C31" s="150"/>
      <c r="D31" s="150"/>
      <c r="E31" s="152"/>
      <c r="F31" s="152"/>
      <c r="G31" s="152"/>
    </row>
    <row r="32" spans="2:7" x14ac:dyDescent="0.25">
      <c r="B32" s="150"/>
      <c r="C32" s="150"/>
      <c r="D32" s="172" t="s">
        <v>183</v>
      </c>
      <c r="E32" s="152"/>
      <c r="F32" s="152"/>
      <c r="G32" s="152"/>
    </row>
    <row r="33" spans="2:7" x14ac:dyDescent="0.25">
      <c r="B33" s="150"/>
      <c r="C33" s="150"/>
      <c r="D33" s="172" t="s">
        <v>184</v>
      </c>
      <c r="E33" s="152"/>
      <c r="F33" s="152"/>
      <c r="G33" s="152"/>
    </row>
    <row r="34" spans="2:7" x14ac:dyDescent="0.25">
      <c r="B34" s="173">
        <v>410000</v>
      </c>
      <c r="C34" s="174"/>
      <c r="D34" s="175" t="s">
        <v>166</v>
      </c>
      <c r="E34" s="176">
        <f>E35+E42+E49+E64+E66+E67+E45+E47</f>
        <v>1012000</v>
      </c>
      <c r="F34" s="176"/>
      <c r="G34" s="176"/>
    </row>
    <row r="35" spans="2:7" x14ac:dyDescent="0.25">
      <c r="B35" s="177">
        <v>412200</v>
      </c>
      <c r="C35" s="178"/>
      <c r="D35" s="179" t="s">
        <v>185</v>
      </c>
      <c r="E35" s="158">
        <f>E36+E37+E38+E39+E40+E41</f>
        <v>83000</v>
      </c>
      <c r="F35" s="158">
        <f>F36+F37+F38+F39+F40+F41</f>
        <v>70416.139999999985</v>
      </c>
      <c r="G35" s="158">
        <f>G36+G38+G37+G39+G40+G41</f>
        <v>99350</v>
      </c>
    </row>
    <row r="36" spans="2:7" x14ac:dyDescent="0.25">
      <c r="B36" s="150"/>
      <c r="C36" s="150"/>
      <c r="D36" s="150" t="s">
        <v>186</v>
      </c>
      <c r="E36" s="152">
        <v>25000</v>
      </c>
      <c r="F36" s="152">
        <v>22489.61</v>
      </c>
      <c r="G36" s="152">
        <f>33800</f>
        <v>33800</v>
      </c>
    </row>
    <row r="37" spans="2:7" x14ac:dyDescent="0.25">
      <c r="B37" s="150"/>
      <c r="C37" s="150"/>
      <c r="D37" s="180" t="s">
        <v>356</v>
      </c>
      <c r="E37" s="152">
        <v>14000</v>
      </c>
      <c r="F37" s="152">
        <v>14400</v>
      </c>
      <c r="G37" s="152">
        <v>14400</v>
      </c>
    </row>
    <row r="38" spans="2:7" x14ac:dyDescent="0.25">
      <c r="B38" s="150"/>
      <c r="C38" s="150"/>
      <c r="D38" s="180" t="s">
        <v>187</v>
      </c>
      <c r="E38" s="152">
        <v>3000</v>
      </c>
      <c r="F38" s="152">
        <v>3165.09</v>
      </c>
      <c r="G38" s="152">
        <v>4800</v>
      </c>
    </row>
    <row r="39" spans="2:7" x14ac:dyDescent="0.25">
      <c r="B39" s="150"/>
      <c r="C39" s="150"/>
      <c r="D39" s="320" t="s">
        <v>357</v>
      </c>
      <c r="E39" s="244">
        <v>4000</v>
      </c>
      <c r="F39" s="244">
        <v>561.6</v>
      </c>
      <c r="G39" s="244">
        <v>850</v>
      </c>
    </row>
    <row r="40" spans="2:7" x14ac:dyDescent="0.25">
      <c r="B40" s="150"/>
      <c r="C40" s="150"/>
      <c r="D40" s="180" t="s">
        <v>188</v>
      </c>
      <c r="E40" s="152">
        <v>25000</v>
      </c>
      <c r="F40" s="152">
        <v>25477</v>
      </c>
      <c r="G40" s="152">
        <v>39000</v>
      </c>
    </row>
    <row r="41" spans="2:7" x14ac:dyDescent="0.25">
      <c r="B41" s="150"/>
      <c r="C41" s="150"/>
      <c r="D41" s="180" t="s">
        <v>189</v>
      </c>
      <c r="E41" s="152">
        <v>12000</v>
      </c>
      <c r="F41" s="152">
        <v>4322.84</v>
      </c>
      <c r="G41" s="152">
        <v>6500</v>
      </c>
    </row>
    <row r="42" spans="2:7" x14ac:dyDescent="0.25">
      <c r="B42" s="177">
        <v>412300</v>
      </c>
      <c r="C42" s="178"/>
      <c r="D42" s="181" t="s">
        <v>190</v>
      </c>
      <c r="E42" s="158">
        <f>E43+E44</f>
        <v>6000</v>
      </c>
      <c r="F42" s="158">
        <f>F43+F44</f>
        <v>4620.7</v>
      </c>
      <c r="G42" s="158">
        <f>G43+G44</f>
        <v>6500</v>
      </c>
    </row>
    <row r="43" spans="2:7" x14ac:dyDescent="0.25">
      <c r="B43" s="150"/>
      <c r="C43" s="150"/>
      <c r="D43" s="182" t="s">
        <v>191</v>
      </c>
      <c r="E43" s="152">
        <v>4500</v>
      </c>
      <c r="F43" s="152">
        <v>2952.7</v>
      </c>
      <c r="G43" s="152">
        <v>4500</v>
      </c>
    </row>
    <row r="44" spans="2:7" x14ac:dyDescent="0.25">
      <c r="B44" s="150"/>
      <c r="C44" s="150"/>
      <c r="D44" s="150" t="s">
        <v>192</v>
      </c>
      <c r="E44" s="152">
        <v>1500</v>
      </c>
      <c r="F44" s="152">
        <f>970+698</f>
        <v>1668</v>
      </c>
      <c r="G44" s="152">
        <v>2000</v>
      </c>
    </row>
    <row r="45" spans="2:7" x14ac:dyDescent="0.25">
      <c r="B45" s="183">
        <v>412500</v>
      </c>
      <c r="C45" s="183"/>
      <c r="D45" s="183" t="s">
        <v>193</v>
      </c>
      <c r="E45" s="184">
        <f>E46</f>
        <v>7000</v>
      </c>
      <c r="F45" s="184">
        <f>F46</f>
        <v>4602.26</v>
      </c>
      <c r="G45" s="184">
        <f>G46</f>
        <v>7000</v>
      </c>
    </row>
    <row r="46" spans="2:7" x14ac:dyDescent="0.25">
      <c r="B46" s="150"/>
      <c r="C46" s="150"/>
      <c r="D46" s="150" t="s">
        <v>194</v>
      </c>
      <c r="E46" s="152">
        <v>7000</v>
      </c>
      <c r="F46" s="152">
        <v>4602.26</v>
      </c>
      <c r="G46" s="152">
        <v>7000</v>
      </c>
    </row>
    <row r="47" spans="2:7" x14ac:dyDescent="0.25">
      <c r="B47" s="183">
        <v>412600</v>
      </c>
      <c r="C47" s="183"/>
      <c r="D47" s="183" t="s">
        <v>195</v>
      </c>
      <c r="E47" s="184">
        <f>E48</f>
        <v>26000</v>
      </c>
      <c r="F47" s="184">
        <f>F48</f>
        <v>15576.49</v>
      </c>
      <c r="G47" s="184">
        <f>G48</f>
        <v>23400</v>
      </c>
    </row>
    <row r="48" spans="2:7" x14ac:dyDescent="0.25">
      <c r="B48" s="150"/>
      <c r="C48" s="150"/>
      <c r="D48" s="150" t="s">
        <v>196</v>
      </c>
      <c r="E48" s="152">
        <v>26000</v>
      </c>
      <c r="F48" s="152">
        <v>15576.49</v>
      </c>
      <c r="G48" s="152">
        <v>23400</v>
      </c>
    </row>
    <row r="49" spans="2:7" x14ac:dyDescent="0.25">
      <c r="B49" s="177">
        <v>412700</v>
      </c>
      <c r="C49" s="178"/>
      <c r="D49" s="178" t="s">
        <v>6</v>
      </c>
      <c r="E49" s="158">
        <f>SUM(E50:E63)</f>
        <v>93000</v>
      </c>
      <c r="F49" s="158">
        <f>F50+F51+F52+F53+F54+F55+F56+F57+F58+F59+F60+F61+F62+F63</f>
        <v>49128.99</v>
      </c>
      <c r="G49" s="158">
        <f>G50+G51+G52+G53+G54+G55+G56+G57+G58+G59+G60+G61+G62+G63</f>
        <v>86900</v>
      </c>
    </row>
    <row r="50" spans="2:7" x14ac:dyDescent="0.25">
      <c r="B50" s="150"/>
      <c r="C50" s="150"/>
      <c r="D50" s="180" t="s">
        <v>197</v>
      </c>
      <c r="E50" s="152">
        <v>11000</v>
      </c>
      <c r="F50" s="152">
        <v>0</v>
      </c>
      <c r="G50" s="152">
        <v>0</v>
      </c>
    </row>
    <row r="51" spans="2:7" x14ac:dyDescent="0.25">
      <c r="B51" s="150"/>
      <c r="C51" s="150"/>
      <c r="D51" s="182" t="s">
        <v>198</v>
      </c>
      <c r="E51" s="152">
        <v>3500</v>
      </c>
      <c r="F51" s="152">
        <v>2787.05</v>
      </c>
      <c r="G51" s="152">
        <v>3000</v>
      </c>
    </row>
    <row r="52" spans="2:7" x14ac:dyDescent="0.25">
      <c r="B52" s="150"/>
      <c r="C52" s="150"/>
      <c r="D52" s="180" t="s">
        <v>199</v>
      </c>
      <c r="E52" s="152">
        <v>5000</v>
      </c>
      <c r="F52" s="152">
        <v>3778.95</v>
      </c>
      <c r="G52" s="152">
        <v>4500</v>
      </c>
    </row>
    <row r="53" spans="2:7" x14ac:dyDescent="0.25">
      <c r="B53" s="150"/>
      <c r="C53" s="150"/>
      <c r="D53" s="180" t="s">
        <v>200</v>
      </c>
      <c r="E53" s="152">
        <v>1000</v>
      </c>
      <c r="F53" s="152">
        <v>0</v>
      </c>
      <c r="G53" s="152">
        <v>1000</v>
      </c>
    </row>
    <row r="54" spans="2:7" x14ac:dyDescent="0.25">
      <c r="B54" s="150"/>
      <c r="C54" s="150"/>
      <c r="D54" s="180" t="s">
        <v>201</v>
      </c>
      <c r="E54" s="152">
        <v>53000</v>
      </c>
      <c r="F54" s="152">
        <f>21798.86+1872</f>
        <v>23670.86</v>
      </c>
      <c r="G54" s="152">
        <v>53000</v>
      </c>
    </row>
    <row r="55" spans="2:7" x14ac:dyDescent="0.25">
      <c r="B55" s="150"/>
      <c r="C55" s="150"/>
      <c r="D55" s="180" t="s">
        <v>202</v>
      </c>
      <c r="E55" s="152">
        <v>2000</v>
      </c>
      <c r="F55" s="152">
        <v>5652.5</v>
      </c>
      <c r="G55" s="152">
        <v>6500</v>
      </c>
    </row>
    <row r="56" spans="2:7" x14ac:dyDescent="0.25">
      <c r="B56" s="150"/>
      <c r="C56" s="150"/>
      <c r="D56" s="180" t="s">
        <v>203</v>
      </c>
      <c r="E56" s="152">
        <v>6000</v>
      </c>
      <c r="F56" s="152">
        <v>827.18</v>
      </c>
      <c r="G56" s="152">
        <v>1500</v>
      </c>
    </row>
    <row r="57" spans="2:7" x14ac:dyDescent="0.25">
      <c r="B57" s="150"/>
      <c r="C57" s="150"/>
      <c r="D57" s="180" t="s">
        <v>204</v>
      </c>
      <c r="E57" s="152">
        <v>1000</v>
      </c>
      <c r="F57" s="152">
        <v>25</v>
      </c>
      <c r="G57" s="152">
        <v>200</v>
      </c>
    </row>
    <row r="58" spans="2:7" x14ac:dyDescent="0.25">
      <c r="B58" s="150"/>
      <c r="C58" s="150"/>
      <c r="D58" s="180" t="s">
        <v>205</v>
      </c>
      <c r="E58" s="152">
        <v>500</v>
      </c>
      <c r="F58" s="152">
        <v>0</v>
      </c>
      <c r="G58" s="152">
        <v>200</v>
      </c>
    </row>
    <row r="59" spans="2:7" x14ac:dyDescent="0.25">
      <c r="B59" s="150"/>
      <c r="C59" s="150"/>
      <c r="D59" s="150" t="s">
        <v>206</v>
      </c>
      <c r="E59" s="152">
        <v>2000</v>
      </c>
      <c r="F59" s="152">
        <v>0</v>
      </c>
      <c r="G59" s="152">
        <v>500</v>
      </c>
    </row>
    <row r="60" spans="2:7" x14ac:dyDescent="0.25">
      <c r="B60" s="150"/>
      <c r="C60" s="150"/>
      <c r="D60" s="180" t="s">
        <v>207</v>
      </c>
      <c r="E60" s="152">
        <v>3000</v>
      </c>
      <c r="F60" s="152">
        <v>0</v>
      </c>
      <c r="G60" s="152">
        <v>2000</v>
      </c>
    </row>
    <row r="61" spans="2:7" x14ac:dyDescent="0.25">
      <c r="B61" s="150"/>
      <c r="C61" s="150"/>
      <c r="D61" s="180" t="s">
        <v>208</v>
      </c>
      <c r="E61" s="152">
        <v>3000</v>
      </c>
      <c r="F61" s="152">
        <v>5059.2</v>
      </c>
      <c r="G61" s="152">
        <v>6000</v>
      </c>
    </row>
    <row r="62" spans="2:7" x14ac:dyDescent="0.25">
      <c r="B62" s="163"/>
      <c r="C62" s="163"/>
      <c r="D62" s="182" t="s">
        <v>209</v>
      </c>
      <c r="E62" s="152">
        <v>1000</v>
      </c>
      <c r="F62" s="152">
        <v>460</v>
      </c>
      <c r="G62" s="152">
        <v>1000</v>
      </c>
    </row>
    <row r="63" spans="2:7" x14ac:dyDescent="0.25">
      <c r="B63" s="163"/>
      <c r="C63" s="163"/>
      <c r="D63" s="182" t="s">
        <v>173</v>
      </c>
      <c r="E63" s="152">
        <v>1000</v>
      </c>
      <c r="F63" s="152">
        <v>6868.25</v>
      </c>
      <c r="G63" s="152">
        <v>7500</v>
      </c>
    </row>
    <row r="64" spans="2:7" x14ac:dyDescent="0.25">
      <c r="B64" s="177">
        <v>412900</v>
      </c>
      <c r="C64" s="178"/>
      <c r="D64" s="178" t="s">
        <v>4</v>
      </c>
      <c r="E64" s="158">
        <f>2000</f>
        <v>2000</v>
      </c>
      <c r="F64" s="158">
        <f>F65</f>
        <v>4994.9799999999996</v>
      </c>
      <c r="G64" s="158">
        <f>G65</f>
        <v>6500</v>
      </c>
    </row>
    <row r="65" spans="2:7" x14ac:dyDescent="0.25">
      <c r="B65" s="150"/>
      <c r="C65" s="150"/>
      <c r="D65" s="150" t="s">
        <v>358</v>
      </c>
      <c r="E65" s="152">
        <v>2000</v>
      </c>
      <c r="F65" s="152">
        <v>4994.9799999999996</v>
      </c>
      <c r="G65" s="152">
        <v>6500</v>
      </c>
    </row>
    <row r="66" spans="2:7" x14ac:dyDescent="0.25">
      <c r="B66" s="185">
        <v>419000</v>
      </c>
      <c r="C66" s="186"/>
      <c r="D66" s="187" t="s">
        <v>140</v>
      </c>
      <c r="E66" s="184">
        <v>10000</v>
      </c>
      <c r="F66" s="184">
        <v>505.4</v>
      </c>
      <c r="G66" s="184">
        <v>3000</v>
      </c>
    </row>
    <row r="67" spans="2:7" x14ac:dyDescent="0.25">
      <c r="B67" s="177">
        <v>416000</v>
      </c>
      <c r="C67" s="178"/>
      <c r="D67" s="188" t="s">
        <v>7</v>
      </c>
      <c r="E67" s="158">
        <f>SUM(E68:E76)</f>
        <v>785000</v>
      </c>
      <c r="F67" s="158">
        <f>F68+F69+F70+F71+F72+F73+F74+F75+F76</f>
        <v>505017.24000000005</v>
      </c>
      <c r="G67" s="158">
        <f>G68+G69+G70+G71+G72+G73+G74+G75+G76</f>
        <v>898000</v>
      </c>
    </row>
    <row r="68" spans="2:7" ht="42.75" x14ac:dyDescent="0.25">
      <c r="B68" s="150"/>
      <c r="C68" s="150"/>
      <c r="D68" s="189" t="s">
        <v>210</v>
      </c>
      <c r="E68" s="152">
        <v>360000</v>
      </c>
      <c r="F68" s="152">
        <f>86969.53+157383.6+260+5960+33758.71+31000</f>
        <v>315331.84000000003</v>
      </c>
      <c r="G68" s="152">
        <v>473000</v>
      </c>
    </row>
    <row r="69" spans="2:7" ht="28.5" x14ac:dyDescent="0.25">
      <c r="B69" s="150"/>
      <c r="C69" s="150"/>
      <c r="D69" s="189" t="s">
        <v>211</v>
      </c>
      <c r="E69" s="152">
        <v>190000</v>
      </c>
      <c r="F69" s="152">
        <v>76540</v>
      </c>
      <c r="G69" s="152">
        <v>190000</v>
      </c>
    </row>
    <row r="70" spans="2:7" x14ac:dyDescent="0.25">
      <c r="B70" s="150"/>
      <c r="C70" s="150"/>
      <c r="D70" s="189" t="s">
        <v>212</v>
      </c>
      <c r="E70" s="152">
        <v>6000</v>
      </c>
      <c r="F70" s="152">
        <v>0</v>
      </c>
      <c r="G70" s="152">
        <v>6000</v>
      </c>
    </row>
    <row r="71" spans="2:7" x14ac:dyDescent="0.25">
      <c r="B71" s="150"/>
      <c r="C71" s="150"/>
      <c r="D71" s="189" t="s">
        <v>213</v>
      </c>
      <c r="E71" s="152">
        <v>120000</v>
      </c>
      <c r="F71" s="152">
        <v>69332.600000000006</v>
      </c>
      <c r="G71" s="152">
        <v>120000</v>
      </c>
    </row>
    <row r="72" spans="2:7" x14ac:dyDescent="0.25">
      <c r="B72" s="150"/>
      <c r="C72" s="150"/>
      <c r="D72" s="189" t="s">
        <v>214</v>
      </c>
      <c r="E72" s="152">
        <v>23000</v>
      </c>
      <c r="F72" s="152">
        <v>0</v>
      </c>
      <c r="G72" s="152">
        <v>23000</v>
      </c>
    </row>
    <row r="73" spans="2:7" x14ac:dyDescent="0.25">
      <c r="B73" s="150"/>
      <c r="C73" s="150"/>
      <c r="D73" s="189" t="s">
        <v>215</v>
      </c>
      <c r="E73" s="152">
        <v>33000</v>
      </c>
      <c r="F73" s="152">
        <v>8795</v>
      </c>
      <c r="G73" s="152">
        <v>33000</v>
      </c>
    </row>
    <row r="74" spans="2:7" x14ac:dyDescent="0.25">
      <c r="B74" s="150"/>
      <c r="C74" s="150"/>
      <c r="D74" s="189" t="s">
        <v>216</v>
      </c>
      <c r="E74" s="152">
        <v>2000</v>
      </c>
      <c r="F74" s="152">
        <v>0</v>
      </c>
      <c r="G74" s="152">
        <v>2000</v>
      </c>
    </row>
    <row r="75" spans="2:7" ht="28.5" x14ac:dyDescent="0.25">
      <c r="B75" s="150"/>
      <c r="C75" s="150"/>
      <c r="D75" s="189" t="s">
        <v>217</v>
      </c>
      <c r="E75" s="152">
        <v>1000</v>
      </c>
      <c r="F75" s="152">
        <v>0</v>
      </c>
      <c r="G75" s="152">
        <v>1000</v>
      </c>
    </row>
    <row r="76" spans="2:7" ht="28.5" x14ac:dyDescent="0.25">
      <c r="B76" s="150"/>
      <c r="C76" s="150"/>
      <c r="D76" s="189" t="s">
        <v>218</v>
      </c>
      <c r="E76" s="152">
        <v>50000</v>
      </c>
      <c r="F76" s="152">
        <v>35017.800000000003</v>
      </c>
      <c r="G76" s="152">
        <v>50000</v>
      </c>
    </row>
    <row r="77" spans="2:7" x14ac:dyDescent="0.25">
      <c r="B77" s="190">
        <v>510000</v>
      </c>
      <c r="C77" s="191"/>
      <c r="D77" s="192" t="s">
        <v>219</v>
      </c>
      <c r="E77" s="193">
        <f>E78</f>
        <v>23000</v>
      </c>
      <c r="F77" s="193">
        <f>F78</f>
        <v>0</v>
      </c>
      <c r="G77" s="193">
        <f>G78</f>
        <v>0</v>
      </c>
    </row>
    <row r="78" spans="2:7" x14ac:dyDescent="0.25">
      <c r="B78" s="163"/>
      <c r="C78" s="163"/>
      <c r="D78" s="189" t="s">
        <v>220</v>
      </c>
      <c r="E78" s="194">
        <v>23000</v>
      </c>
      <c r="F78" s="194">
        <v>0</v>
      </c>
      <c r="G78" s="194">
        <v>0</v>
      </c>
    </row>
    <row r="79" spans="2:7" x14ac:dyDescent="0.25">
      <c r="B79" s="195"/>
      <c r="C79" s="195"/>
      <c r="D79" s="195" t="s">
        <v>221</v>
      </c>
      <c r="E79" s="196">
        <f>E80+E84</f>
        <v>9000</v>
      </c>
      <c r="F79" s="196"/>
      <c r="G79" s="196"/>
    </row>
    <row r="80" spans="2:7" x14ac:dyDescent="0.25">
      <c r="B80" s="178">
        <v>412000</v>
      </c>
      <c r="C80" s="178"/>
      <c r="D80" s="178" t="s">
        <v>8</v>
      </c>
      <c r="E80" s="158">
        <f>E83+E82+E81</f>
        <v>2000</v>
      </c>
      <c r="F80" s="158"/>
      <c r="G80" s="158"/>
    </row>
    <row r="81" spans="2:7" x14ac:dyDescent="0.25">
      <c r="B81" s="197">
        <v>412600</v>
      </c>
      <c r="C81" s="198"/>
      <c r="D81" s="163" t="s">
        <v>3</v>
      </c>
      <c r="E81" s="194">
        <v>1000</v>
      </c>
      <c r="F81" s="194">
        <v>0</v>
      </c>
      <c r="G81" s="194">
        <v>0</v>
      </c>
    </row>
    <row r="82" spans="2:7" x14ac:dyDescent="0.25">
      <c r="B82" s="199">
        <v>412700</v>
      </c>
      <c r="C82" s="198"/>
      <c r="D82" s="163" t="s">
        <v>222</v>
      </c>
      <c r="E82" s="194">
        <v>0</v>
      </c>
      <c r="F82" s="194">
        <v>0</v>
      </c>
      <c r="G82" s="194">
        <v>0</v>
      </c>
    </row>
    <row r="83" spans="2:7" ht="29.25" x14ac:dyDescent="0.25">
      <c r="B83" s="199">
        <v>412900</v>
      </c>
      <c r="C83" s="198"/>
      <c r="D83" s="167" t="s">
        <v>223</v>
      </c>
      <c r="E83" s="194">
        <v>1000</v>
      </c>
      <c r="F83" s="194">
        <v>0</v>
      </c>
      <c r="G83" s="194">
        <v>0</v>
      </c>
    </row>
    <row r="84" spans="2:7" x14ac:dyDescent="0.25">
      <c r="B84" s="169">
        <v>510000</v>
      </c>
      <c r="C84" s="169"/>
      <c r="D84" s="200" t="s">
        <v>38</v>
      </c>
      <c r="E84" s="201">
        <f>E85+E86</f>
        <v>7000</v>
      </c>
      <c r="F84" s="201"/>
      <c r="G84" s="201">
        <f>G85+G86</f>
        <v>7000</v>
      </c>
    </row>
    <row r="85" spans="2:7" x14ac:dyDescent="0.25">
      <c r="B85" s="150"/>
      <c r="C85" s="150"/>
      <c r="D85" s="150" t="s">
        <v>224</v>
      </c>
      <c r="E85" s="194">
        <v>5000</v>
      </c>
      <c r="F85" s="194">
        <v>0</v>
      </c>
      <c r="G85" s="194">
        <v>5000</v>
      </c>
    </row>
    <row r="86" spans="2:7" x14ac:dyDescent="0.25">
      <c r="B86" s="150"/>
      <c r="C86" s="150"/>
      <c r="D86" s="150" t="s">
        <v>225</v>
      </c>
      <c r="E86" s="194">
        <v>2000</v>
      </c>
      <c r="F86" s="194">
        <v>0</v>
      </c>
      <c r="G86" s="194">
        <v>2000</v>
      </c>
    </row>
    <row r="87" spans="2:7" x14ac:dyDescent="0.25">
      <c r="B87" s="150"/>
      <c r="C87" s="150"/>
      <c r="D87" s="243" t="s">
        <v>359</v>
      </c>
      <c r="E87" s="244"/>
      <c r="F87" s="244"/>
      <c r="G87" s="244"/>
    </row>
    <row r="88" spans="2:7" x14ac:dyDescent="0.25">
      <c r="B88" s="202"/>
      <c r="C88" s="202"/>
      <c r="D88" s="203" t="s">
        <v>226</v>
      </c>
      <c r="E88" s="196">
        <f>E89</f>
        <v>4500</v>
      </c>
      <c r="F88" s="196"/>
      <c r="G88" s="196"/>
    </row>
    <row r="89" spans="2:7" x14ac:dyDescent="0.25">
      <c r="B89" s="178">
        <v>412000</v>
      </c>
      <c r="C89" s="178"/>
      <c r="D89" s="204" t="s">
        <v>8</v>
      </c>
      <c r="E89" s="158">
        <f>E90+E91+E92+E93</f>
        <v>4500</v>
      </c>
      <c r="F89" s="158"/>
      <c r="G89" s="158"/>
    </row>
    <row r="90" spans="2:7" x14ac:dyDescent="0.25">
      <c r="B90" s="199">
        <v>412400</v>
      </c>
      <c r="C90" s="198"/>
      <c r="D90" s="205" t="s">
        <v>227</v>
      </c>
      <c r="E90" s="194">
        <v>2000</v>
      </c>
      <c r="F90" s="194">
        <v>0</v>
      </c>
      <c r="G90" s="194">
        <v>0</v>
      </c>
    </row>
    <row r="91" spans="2:7" x14ac:dyDescent="0.25">
      <c r="B91" s="197">
        <v>412600</v>
      </c>
      <c r="C91" s="163"/>
      <c r="D91" s="205" t="s">
        <v>3</v>
      </c>
      <c r="E91" s="194">
        <v>1500</v>
      </c>
      <c r="F91" s="194"/>
      <c r="G91" s="194">
        <v>0</v>
      </c>
    </row>
    <row r="92" spans="2:7" x14ac:dyDescent="0.25">
      <c r="B92" s="197">
        <v>412700</v>
      </c>
      <c r="C92" s="163"/>
      <c r="D92" s="205" t="s">
        <v>222</v>
      </c>
      <c r="E92" s="194">
        <v>0</v>
      </c>
      <c r="F92" s="194">
        <v>0</v>
      </c>
      <c r="G92" s="194">
        <v>0</v>
      </c>
    </row>
    <row r="93" spans="2:7" ht="28.5" x14ac:dyDescent="0.25">
      <c r="B93" s="197">
        <v>412900</v>
      </c>
      <c r="C93" s="163"/>
      <c r="D93" s="206" t="s">
        <v>223</v>
      </c>
      <c r="E93" s="194">
        <v>1000</v>
      </c>
      <c r="F93" s="194">
        <v>0</v>
      </c>
      <c r="G93" s="194">
        <v>0</v>
      </c>
    </row>
    <row r="94" spans="2:7" x14ac:dyDescent="0.25">
      <c r="B94" s="346" t="s">
        <v>5</v>
      </c>
      <c r="C94" s="346"/>
      <c r="D94" s="346"/>
      <c r="E94" s="171">
        <f>E88+E79+E77+E34</f>
        <v>1048500</v>
      </c>
      <c r="F94" s="171">
        <f>F77+F67+F66+F64+F49+F47+F45+F42+F35</f>
        <v>654862.20000000007</v>
      </c>
      <c r="G94" s="171">
        <f>G86+G85+G67+G66+G64+G49+G47+G45+G42+G35</f>
        <v>1137650</v>
      </c>
    </row>
    <row r="95" spans="2:7" x14ac:dyDescent="0.25">
      <c r="B95" s="150"/>
      <c r="C95" s="150"/>
      <c r="D95" s="150"/>
      <c r="E95" s="152"/>
      <c r="F95" s="152"/>
      <c r="G95" s="152"/>
    </row>
    <row r="96" spans="2:7" x14ac:dyDescent="0.25">
      <c r="B96" s="150"/>
      <c r="C96" s="150"/>
      <c r="D96" s="208" t="s">
        <v>228</v>
      </c>
      <c r="E96" s="152"/>
      <c r="F96" s="152"/>
      <c r="G96" s="152"/>
    </row>
    <row r="97" spans="2:7" x14ac:dyDescent="0.25">
      <c r="B97" s="150"/>
      <c r="C97" s="150"/>
      <c r="D97" s="151" t="s">
        <v>229</v>
      </c>
      <c r="E97" s="152"/>
      <c r="F97" s="152"/>
      <c r="G97" s="152"/>
    </row>
    <row r="98" spans="2:7" x14ac:dyDescent="0.25">
      <c r="B98" s="153">
        <v>410000</v>
      </c>
      <c r="C98" s="154"/>
      <c r="D98" s="154" t="s">
        <v>166</v>
      </c>
      <c r="E98" s="155">
        <f>E99+E104</f>
        <v>1369828</v>
      </c>
      <c r="F98" s="155"/>
      <c r="G98" s="155"/>
    </row>
    <row r="99" spans="2:7" x14ac:dyDescent="0.25">
      <c r="B99" s="209">
        <v>411000</v>
      </c>
      <c r="C99" s="209"/>
      <c r="D99" s="209" t="s">
        <v>230</v>
      </c>
      <c r="E99" s="210">
        <f>E100+E101+E102+E103</f>
        <v>1075028</v>
      </c>
      <c r="F99" s="210">
        <f>F100+F101+F102+F103</f>
        <v>684166.71</v>
      </c>
      <c r="G99" s="210">
        <f>G100+G101+G102+G103</f>
        <v>1111500</v>
      </c>
    </row>
    <row r="100" spans="2:7" x14ac:dyDescent="0.25">
      <c r="B100" s="150"/>
      <c r="C100" s="150">
        <v>411100</v>
      </c>
      <c r="D100" s="150" t="s">
        <v>231</v>
      </c>
      <c r="E100" s="152">
        <v>960000</v>
      </c>
      <c r="F100" s="152">
        <v>603123.77</v>
      </c>
      <c r="G100" s="152">
        <v>980000</v>
      </c>
    </row>
    <row r="101" spans="2:7" x14ac:dyDescent="0.25">
      <c r="B101" s="150"/>
      <c r="C101" s="150">
        <v>411200</v>
      </c>
      <c r="D101" s="160" t="s">
        <v>232</v>
      </c>
      <c r="E101" s="152">
        <v>110000</v>
      </c>
      <c r="F101" s="152">
        <v>64076.08</v>
      </c>
      <c r="G101" s="152">
        <v>110000</v>
      </c>
    </row>
    <row r="102" spans="2:7" x14ac:dyDescent="0.25">
      <c r="B102" s="150"/>
      <c r="C102" s="150">
        <v>411300</v>
      </c>
      <c r="D102" s="160" t="s">
        <v>233</v>
      </c>
      <c r="E102" s="152">
        <v>2100</v>
      </c>
      <c r="F102" s="152">
        <v>4702.7</v>
      </c>
      <c r="G102" s="152">
        <v>6500</v>
      </c>
    </row>
    <row r="103" spans="2:7" x14ac:dyDescent="0.25">
      <c r="B103" s="150"/>
      <c r="C103" s="150">
        <v>411400</v>
      </c>
      <c r="D103" s="160" t="s">
        <v>360</v>
      </c>
      <c r="E103" s="152">
        <f>3000-72</f>
        <v>2928</v>
      </c>
      <c r="F103" s="152">
        <v>12264.16</v>
      </c>
      <c r="G103" s="152">
        <v>15000</v>
      </c>
    </row>
    <row r="104" spans="2:7" x14ac:dyDescent="0.25">
      <c r="B104" s="211">
        <v>412000</v>
      </c>
      <c r="C104" s="212"/>
      <c r="D104" s="212" t="s">
        <v>8</v>
      </c>
      <c r="E104" s="213">
        <f>SUM(E105:E113)</f>
        <v>294800</v>
      </c>
      <c r="F104" s="213">
        <f>F105+F106+F107+F108+F109+F110+F111+F112+F113</f>
        <v>239208.90999999997</v>
      </c>
      <c r="G104" s="213">
        <f>G105+G106+G107+G108+G109+G110+G111+G112+G113</f>
        <v>382090</v>
      </c>
    </row>
    <row r="105" spans="2:7" x14ac:dyDescent="0.25">
      <c r="B105" s="214">
        <v>412100</v>
      </c>
      <c r="C105" s="215"/>
      <c r="D105" s="206" t="s">
        <v>235</v>
      </c>
      <c r="E105" s="216">
        <v>175000</v>
      </c>
      <c r="F105" s="216">
        <v>88558</v>
      </c>
      <c r="G105" s="216">
        <v>175000</v>
      </c>
    </row>
    <row r="106" spans="2:7" x14ac:dyDescent="0.25">
      <c r="B106" s="217">
        <v>412300</v>
      </c>
      <c r="C106" s="150"/>
      <c r="D106" s="150" t="s">
        <v>236</v>
      </c>
      <c r="E106" s="216">
        <v>800</v>
      </c>
      <c r="F106" s="216">
        <v>800</v>
      </c>
      <c r="G106" s="216">
        <v>800</v>
      </c>
    </row>
    <row r="107" spans="2:7" x14ac:dyDescent="0.25">
      <c r="B107" s="214">
        <v>412200</v>
      </c>
      <c r="C107" s="163"/>
      <c r="D107" s="163" t="s">
        <v>237</v>
      </c>
      <c r="E107" s="216">
        <v>5000</v>
      </c>
      <c r="F107" s="216">
        <v>0</v>
      </c>
      <c r="G107" s="216">
        <v>0</v>
      </c>
    </row>
    <row r="108" spans="2:7" x14ac:dyDescent="0.25">
      <c r="B108" s="214">
        <v>412300</v>
      </c>
      <c r="C108" s="163"/>
      <c r="D108" s="163" t="s">
        <v>238</v>
      </c>
      <c r="E108" s="216">
        <v>22000</v>
      </c>
      <c r="F108" s="216">
        <f>1822.04+9240.49+204.75+887.96</f>
        <v>12155.239999999998</v>
      </c>
      <c r="G108" s="216">
        <v>22000</v>
      </c>
    </row>
    <row r="109" spans="2:7" x14ac:dyDescent="0.25">
      <c r="B109" s="217">
        <v>412700</v>
      </c>
      <c r="C109" s="150"/>
      <c r="D109" s="160" t="s">
        <v>239</v>
      </c>
      <c r="E109" s="216">
        <v>45000</v>
      </c>
      <c r="F109" s="216">
        <f>6700.66+5882.88+6605.51+2035.92+4408.24+1123.2</f>
        <v>26756.41</v>
      </c>
      <c r="G109" s="216">
        <v>45000</v>
      </c>
    </row>
    <row r="110" spans="2:7" x14ac:dyDescent="0.25">
      <c r="B110" s="217">
        <v>412900</v>
      </c>
      <c r="C110" s="150"/>
      <c r="D110" s="150" t="s">
        <v>240</v>
      </c>
      <c r="E110" s="216">
        <v>2000</v>
      </c>
      <c r="F110" s="216">
        <v>3299.8</v>
      </c>
      <c r="G110" s="216">
        <v>5000</v>
      </c>
    </row>
    <row r="111" spans="2:7" x14ac:dyDescent="0.25">
      <c r="B111" s="217"/>
      <c r="C111" s="150"/>
      <c r="D111" s="150" t="s">
        <v>241</v>
      </c>
      <c r="E111" s="216">
        <v>2000</v>
      </c>
      <c r="F111" s="216">
        <v>9600</v>
      </c>
      <c r="G111" s="216">
        <v>14500</v>
      </c>
    </row>
    <row r="112" spans="2:7" x14ac:dyDescent="0.25">
      <c r="B112" s="217"/>
      <c r="C112" s="150"/>
      <c r="D112" s="150" t="s">
        <v>242</v>
      </c>
      <c r="E112" s="216">
        <v>35000</v>
      </c>
      <c r="F112" s="216">
        <v>81790.45</v>
      </c>
      <c r="G112" s="216">
        <v>101790</v>
      </c>
    </row>
    <row r="113" spans="2:7" x14ac:dyDescent="0.25">
      <c r="B113" s="217"/>
      <c r="C113" s="150"/>
      <c r="D113" s="160" t="s">
        <v>243</v>
      </c>
      <c r="E113" s="216">
        <v>8000</v>
      </c>
      <c r="F113" s="216">
        <v>16249.01</v>
      </c>
      <c r="G113" s="216">
        <v>18000</v>
      </c>
    </row>
    <row r="114" spans="2:7" ht="15.75" x14ac:dyDescent="0.25">
      <c r="B114" s="330">
        <v>413000</v>
      </c>
      <c r="C114" s="331"/>
      <c r="D114" s="10" t="s">
        <v>23</v>
      </c>
      <c r="E114" s="334">
        <f>E115</f>
        <v>0</v>
      </c>
      <c r="F114" s="334">
        <f>F115</f>
        <v>0</v>
      </c>
      <c r="G114" s="334">
        <f>G115</f>
        <v>25000</v>
      </c>
    </row>
    <row r="115" spans="2:7" x14ac:dyDescent="0.25">
      <c r="B115" s="332">
        <v>413300</v>
      </c>
      <c r="C115" s="150"/>
      <c r="D115" s="70" t="s">
        <v>24</v>
      </c>
      <c r="E115" s="333">
        <v>0</v>
      </c>
      <c r="F115" s="333">
        <v>0</v>
      </c>
      <c r="G115" s="333">
        <v>25000</v>
      </c>
    </row>
    <row r="116" spans="2:7" x14ac:dyDescent="0.25">
      <c r="B116" s="217"/>
      <c r="C116" s="150"/>
      <c r="D116" s="160"/>
      <c r="E116" s="216"/>
      <c r="F116" s="216"/>
      <c r="G116" s="216"/>
    </row>
    <row r="117" spans="2:7" x14ac:dyDescent="0.25">
      <c r="B117" s="218">
        <v>480000</v>
      </c>
      <c r="C117" s="191"/>
      <c r="D117" s="219" t="s">
        <v>244</v>
      </c>
      <c r="E117" s="220">
        <f>E118</f>
        <v>4000</v>
      </c>
      <c r="F117" s="220">
        <f>F118</f>
        <v>10922.73</v>
      </c>
      <c r="G117" s="220">
        <f>G118</f>
        <v>12000</v>
      </c>
    </row>
    <row r="118" spans="2:7" x14ac:dyDescent="0.25">
      <c r="B118" s="217">
        <v>487000</v>
      </c>
      <c r="C118" s="150"/>
      <c r="D118" s="160" t="s">
        <v>376</v>
      </c>
      <c r="E118" s="216">
        <v>4000</v>
      </c>
      <c r="F118" s="216">
        <f>6911.46+3858.62+152.65</f>
        <v>10922.73</v>
      </c>
      <c r="G118" s="216">
        <f>12000</f>
        <v>12000</v>
      </c>
    </row>
    <row r="119" spans="2:7" x14ac:dyDescent="0.25">
      <c r="B119" s="153">
        <v>510000</v>
      </c>
      <c r="C119" s="153"/>
      <c r="D119" s="153" t="s">
        <v>219</v>
      </c>
      <c r="E119" s="221">
        <f>E120+E125</f>
        <v>17000</v>
      </c>
      <c r="F119" s="221"/>
      <c r="G119" s="221"/>
    </row>
    <row r="120" spans="2:7" x14ac:dyDescent="0.25">
      <c r="B120" s="222"/>
      <c r="C120" s="222"/>
      <c r="D120" s="223" t="s">
        <v>245</v>
      </c>
      <c r="E120" s="224">
        <f>E121+E122+E123+E124</f>
        <v>4000</v>
      </c>
      <c r="F120" s="224">
        <f>F121+F122+F123+F124</f>
        <v>768.38</v>
      </c>
      <c r="G120" s="224">
        <f>G121+G122+G123+G124</f>
        <v>101450</v>
      </c>
    </row>
    <row r="121" spans="2:7" x14ac:dyDescent="0.25">
      <c r="B121" s="150">
        <v>511300</v>
      </c>
      <c r="C121" s="150"/>
      <c r="D121" s="150" t="s">
        <v>361</v>
      </c>
      <c r="E121" s="152">
        <v>1000</v>
      </c>
      <c r="F121" s="152">
        <v>0</v>
      </c>
      <c r="G121" s="152">
        <v>1000</v>
      </c>
    </row>
    <row r="122" spans="2:7" x14ac:dyDescent="0.25">
      <c r="B122" s="150">
        <v>511300</v>
      </c>
      <c r="C122" s="150"/>
      <c r="D122" s="150" t="s">
        <v>362</v>
      </c>
      <c r="E122" s="152">
        <v>1000</v>
      </c>
      <c r="F122" s="152">
        <v>768.38</v>
      </c>
      <c r="G122" s="152">
        <v>1000</v>
      </c>
    </row>
    <row r="123" spans="2:7" x14ac:dyDescent="0.25">
      <c r="B123" s="163">
        <v>513000</v>
      </c>
      <c r="C123" s="163"/>
      <c r="D123" s="163" t="s">
        <v>246</v>
      </c>
      <c r="E123" s="152">
        <v>1000</v>
      </c>
      <c r="F123" s="152">
        <v>0</v>
      </c>
      <c r="G123" s="152">
        <v>0</v>
      </c>
    </row>
    <row r="124" spans="2:7" x14ac:dyDescent="0.25">
      <c r="B124" s="163">
        <v>511300</v>
      </c>
      <c r="C124" s="163"/>
      <c r="D124" s="163" t="s">
        <v>247</v>
      </c>
      <c r="E124" s="152">
        <v>1000</v>
      </c>
      <c r="F124" s="152">
        <v>0</v>
      </c>
      <c r="G124" s="152">
        <v>99450</v>
      </c>
    </row>
    <row r="125" spans="2:7" x14ac:dyDescent="0.25">
      <c r="B125" s="225"/>
      <c r="C125" s="225"/>
      <c r="D125" s="226" t="s">
        <v>44</v>
      </c>
      <c r="E125" s="227">
        <f>E126</f>
        <v>13000</v>
      </c>
      <c r="F125" s="227">
        <f>F126</f>
        <v>13929.5</v>
      </c>
      <c r="G125" s="227">
        <f>G126</f>
        <v>14500</v>
      </c>
    </row>
    <row r="126" spans="2:7" x14ac:dyDescent="0.25">
      <c r="B126" s="150">
        <v>516100</v>
      </c>
      <c r="C126" s="150"/>
      <c r="D126" s="150" t="s">
        <v>248</v>
      </c>
      <c r="E126" s="152">
        <v>13000</v>
      </c>
      <c r="F126" s="152">
        <f>7157.83+6771.67</f>
        <v>13929.5</v>
      </c>
      <c r="G126" s="152">
        <v>14500</v>
      </c>
    </row>
    <row r="127" spans="2:7" ht="28.5" x14ac:dyDescent="0.25">
      <c r="B127" s="335">
        <v>638000</v>
      </c>
      <c r="C127" s="335"/>
      <c r="D127" s="336" t="s">
        <v>377</v>
      </c>
      <c r="E127" s="337">
        <f>E128</f>
        <v>0</v>
      </c>
      <c r="F127" s="337">
        <f>F128</f>
        <v>0</v>
      </c>
      <c r="G127" s="337">
        <f>G128</f>
        <v>1000</v>
      </c>
    </row>
    <row r="128" spans="2:7" x14ac:dyDescent="0.25">
      <c r="B128" s="150">
        <v>638100</v>
      </c>
      <c r="C128" s="150"/>
      <c r="D128" s="13" t="s">
        <v>378</v>
      </c>
      <c r="E128" s="152">
        <v>0</v>
      </c>
      <c r="F128" s="152">
        <v>0</v>
      </c>
      <c r="G128" s="152">
        <v>1000</v>
      </c>
    </row>
    <row r="129" spans="2:7" x14ac:dyDescent="0.25">
      <c r="B129" s="345" t="s">
        <v>5</v>
      </c>
      <c r="C129" s="345"/>
      <c r="D129" s="345"/>
      <c r="E129" s="228">
        <f>E119+E98+E117</f>
        <v>1390828</v>
      </c>
      <c r="F129" s="228">
        <f>F125+F120+F117+F104+F99</f>
        <v>948996.23</v>
      </c>
      <c r="G129" s="228">
        <f>G120+G125+G117+G104+G99+G114+G127</f>
        <v>1647540</v>
      </c>
    </row>
    <row r="130" spans="2:7" x14ac:dyDescent="0.25">
      <c r="B130" s="150"/>
      <c r="C130" s="150"/>
      <c r="D130" s="150"/>
      <c r="E130" s="152"/>
      <c r="F130" s="152"/>
      <c r="G130" s="152"/>
    </row>
    <row r="131" spans="2:7" x14ac:dyDescent="0.25">
      <c r="B131" s="150"/>
      <c r="C131" s="150"/>
      <c r="D131" s="208" t="s">
        <v>249</v>
      </c>
      <c r="E131" s="152"/>
      <c r="F131" s="152"/>
      <c r="G131" s="152"/>
    </row>
    <row r="132" spans="2:7" x14ac:dyDescent="0.25">
      <c r="B132" s="150"/>
      <c r="C132" s="150"/>
      <c r="D132" s="151" t="s">
        <v>250</v>
      </c>
      <c r="E132" s="152"/>
      <c r="F132" s="152"/>
      <c r="G132" s="152"/>
    </row>
    <row r="133" spans="2:7" x14ac:dyDescent="0.25">
      <c r="B133" s="229">
        <v>410000</v>
      </c>
      <c r="C133" s="154"/>
      <c r="D133" s="154" t="s">
        <v>166</v>
      </c>
      <c r="E133" s="155">
        <f>E134+E140</f>
        <v>25000</v>
      </c>
      <c r="F133" s="155"/>
      <c r="G133" s="155"/>
    </row>
    <row r="134" spans="2:7" x14ac:dyDescent="0.25">
      <c r="B134" s="230">
        <v>412900</v>
      </c>
      <c r="C134" s="231"/>
      <c r="D134" s="231" t="s">
        <v>4</v>
      </c>
      <c r="E134" s="232">
        <f>E135+E136+E137</f>
        <v>14000</v>
      </c>
      <c r="F134" s="232">
        <f>F135+F136+F137+F138+F139</f>
        <v>30326.629999999997</v>
      </c>
      <c r="G134" s="232">
        <f>G135+G136+G137+G138+G139</f>
        <v>34500</v>
      </c>
    </row>
    <row r="135" spans="2:7" x14ac:dyDescent="0.25">
      <c r="B135" s="150"/>
      <c r="C135" s="150"/>
      <c r="D135" s="150" t="s">
        <v>251</v>
      </c>
      <c r="E135" s="152">
        <v>5000</v>
      </c>
      <c r="F135" s="152">
        <v>2121</v>
      </c>
      <c r="G135" s="152">
        <v>4000</v>
      </c>
    </row>
    <row r="136" spans="2:7" x14ac:dyDescent="0.25">
      <c r="B136" s="150"/>
      <c r="C136" s="150"/>
      <c r="D136" s="150" t="s">
        <v>252</v>
      </c>
      <c r="E136" s="152">
        <v>4000</v>
      </c>
      <c r="F136" s="152">
        <v>10307.629999999999</v>
      </c>
      <c r="G136" s="152">
        <v>12000</v>
      </c>
    </row>
    <row r="137" spans="2:7" x14ac:dyDescent="0.25">
      <c r="B137" s="150"/>
      <c r="C137" s="150"/>
      <c r="D137" s="150" t="s">
        <v>253</v>
      </c>
      <c r="E137" s="152">
        <v>5000</v>
      </c>
      <c r="F137" s="152">
        <v>21.24</v>
      </c>
      <c r="G137" s="152">
        <v>0</v>
      </c>
    </row>
    <row r="138" spans="2:7" x14ac:dyDescent="0.25">
      <c r="B138" s="150"/>
      <c r="C138" s="150"/>
      <c r="D138" s="150" t="s">
        <v>363</v>
      </c>
      <c r="E138" s="152">
        <v>0</v>
      </c>
      <c r="F138" s="152">
        <v>17809.759999999998</v>
      </c>
      <c r="G138" s="152">
        <v>18000</v>
      </c>
    </row>
    <row r="139" spans="2:7" x14ac:dyDescent="0.25">
      <c r="B139" s="150"/>
      <c r="C139" s="150"/>
      <c r="D139" s="150" t="s">
        <v>4</v>
      </c>
      <c r="E139" s="152">
        <v>0</v>
      </c>
      <c r="F139" s="152">
        <v>67</v>
      </c>
      <c r="G139" s="152">
        <v>500</v>
      </c>
    </row>
    <row r="140" spans="2:7" x14ac:dyDescent="0.25">
      <c r="B140" s="230">
        <v>415200</v>
      </c>
      <c r="C140" s="231"/>
      <c r="D140" s="231" t="s">
        <v>9</v>
      </c>
      <c r="E140" s="232">
        <f>E141</f>
        <v>11000</v>
      </c>
      <c r="F140" s="232">
        <f>F141</f>
        <v>32404.66</v>
      </c>
      <c r="G140" s="232">
        <f>G141</f>
        <v>40000</v>
      </c>
    </row>
    <row r="141" spans="2:7" x14ac:dyDescent="0.25">
      <c r="B141" s="150"/>
      <c r="C141" s="150"/>
      <c r="D141" s="150" t="s">
        <v>254</v>
      </c>
      <c r="E141" s="152">
        <v>11000</v>
      </c>
      <c r="F141" s="152">
        <f>12105.26+3000+7048.4+9900+351</f>
        <v>32404.66</v>
      </c>
      <c r="G141" s="152">
        <f>40000</f>
        <v>40000</v>
      </c>
    </row>
    <row r="142" spans="2:7" x14ac:dyDescent="0.25">
      <c r="B142" s="233" t="s">
        <v>255</v>
      </c>
      <c r="C142" s="233"/>
      <c r="D142" s="233" t="s">
        <v>10</v>
      </c>
      <c r="E142" s="234">
        <v>100000</v>
      </c>
      <c r="F142" s="234">
        <v>100000</v>
      </c>
      <c r="G142" s="234">
        <v>32000</v>
      </c>
    </row>
    <row r="143" spans="2:7" x14ac:dyDescent="0.25">
      <c r="B143" s="345" t="s">
        <v>5</v>
      </c>
      <c r="C143" s="345"/>
      <c r="D143" s="345"/>
      <c r="E143" s="171">
        <f>E142+E133</f>
        <v>125000</v>
      </c>
      <c r="F143" s="171">
        <f>F142+F140+F134</f>
        <v>162731.29</v>
      </c>
      <c r="G143" s="171">
        <f>G142+G140+G134</f>
        <v>106500</v>
      </c>
    </row>
    <row r="144" spans="2:7" x14ac:dyDescent="0.25">
      <c r="B144" s="150"/>
      <c r="C144" s="150"/>
      <c r="D144" s="150"/>
      <c r="E144" s="152"/>
      <c r="F144" s="152"/>
      <c r="G144" s="152"/>
    </row>
    <row r="145" spans="2:7" x14ac:dyDescent="0.25">
      <c r="B145" s="150"/>
      <c r="C145" s="150"/>
      <c r="D145" s="150"/>
      <c r="E145" s="152"/>
      <c r="F145" s="152"/>
      <c r="G145" s="152"/>
    </row>
    <row r="146" spans="2:7" ht="28.5" x14ac:dyDescent="0.25">
      <c r="B146" s="150"/>
      <c r="C146" s="150"/>
      <c r="D146" s="172" t="s">
        <v>256</v>
      </c>
      <c r="E146" s="152"/>
      <c r="F146" s="152"/>
      <c r="G146" s="152"/>
    </row>
    <row r="147" spans="2:7" x14ac:dyDescent="0.25">
      <c r="B147" s="150"/>
      <c r="C147" s="150"/>
      <c r="D147" s="172" t="s">
        <v>257</v>
      </c>
      <c r="E147" s="152"/>
      <c r="F147" s="152"/>
      <c r="G147" s="152"/>
    </row>
    <row r="148" spans="2:7" x14ac:dyDescent="0.25">
      <c r="B148" s="173">
        <v>410000</v>
      </c>
      <c r="C148" s="173"/>
      <c r="D148" s="173" t="s">
        <v>258</v>
      </c>
      <c r="E148" s="235">
        <f>E149+E151+E155+E157</f>
        <v>1938500</v>
      </c>
      <c r="F148" s="235"/>
      <c r="G148" s="235"/>
    </row>
    <row r="149" spans="2:7" x14ac:dyDescent="0.25">
      <c r="B149" s="236">
        <v>412000</v>
      </c>
      <c r="C149" s="237"/>
      <c r="D149" s="237" t="s">
        <v>8</v>
      </c>
      <c r="E149" s="238">
        <f>E150</f>
        <v>9000</v>
      </c>
      <c r="F149" s="238">
        <f>F150</f>
        <v>6000</v>
      </c>
      <c r="G149" s="238">
        <f>G150</f>
        <v>9000</v>
      </c>
    </row>
    <row r="150" spans="2:7" ht="28.5" x14ac:dyDescent="0.25">
      <c r="B150" s="239"/>
      <c r="C150" s="240"/>
      <c r="D150" s="241" t="s">
        <v>259</v>
      </c>
      <c r="E150" s="242">
        <v>9000</v>
      </c>
      <c r="F150" s="242">
        <v>6000</v>
      </c>
      <c r="G150" s="242">
        <v>9000</v>
      </c>
    </row>
    <row r="151" spans="2:7" x14ac:dyDescent="0.25">
      <c r="B151" s="177">
        <v>414000</v>
      </c>
      <c r="C151" s="178"/>
      <c r="D151" s="178" t="s">
        <v>11</v>
      </c>
      <c r="E151" s="158">
        <f>E152+E153+E154</f>
        <v>203000</v>
      </c>
      <c r="F151" s="158">
        <f>F152+F153+F154</f>
        <v>64379.08</v>
      </c>
      <c r="G151" s="158">
        <f>G152+G153+G154</f>
        <v>203000</v>
      </c>
    </row>
    <row r="152" spans="2:7" x14ac:dyDescent="0.25">
      <c r="B152" s="243"/>
      <c r="C152" s="243"/>
      <c r="D152" s="243" t="s">
        <v>260</v>
      </c>
      <c r="E152" s="244">
        <v>88000</v>
      </c>
      <c r="F152" s="244">
        <v>30878.98</v>
      </c>
      <c r="G152" s="244">
        <v>88000</v>
      </c>
    </row>
    <row r="153" spans="2:7" x14ac:dyDescent="0.25">
      <c r="B153" s="243"/>
      <c r="C153" s="243"/>
      <c r="D153" s="243" t="s">
        <v>261</v>
      </c>
      <c r="E153" s="244">
        <v>110000</v>
      </c>
      <c r="F153" s="244">
        <v>33200.1</v>
      </c>
      <c r="G153" s="244">
        <v>110000</v>
      </c>
    </row>
    <row r="154" spans="2:7" x14ac:dyDescent="0.25">
      <c r="B154" s="243"/>
      <c r="C154" s="243"/>
      <c r="D154" s="245" t="s">
        <v>262</v>
      </c>
      <c r="E154" s="244">
        <v>5000</v>
      </c>
      <c r="F154" s="244">
        <v>300</v>
      </c>
      <c r="G154" s="244">
        <v>5000</v>
      </c>
    </row>
    <row r="155" spans="2:7" x14ac:dyDescent="0.25">
      <c r="B155" s="177">
        <v>416000</v>
      </c>
      <c r="C155" s="178"/>
      <c r="D155" s="178" t="s">
        <v>12</v>
      </c>
      <c r="E155" s="158">
        <f>E156</f>
        <v>345000</v>
      </c>
      <c r="F155" s="158">
        <f>F156</f>
        <v>175023.35</v>
      </c>
      <c r="G155" s="158">
        <f>G156</f>
        <v>270000</v>
      </c>
    </row>
    <row r="156" spans="2:7" x14ac:dyDescent="0.25">
      <c r="B156" s="243"/>
      <c r="C156" s="243"/>
      <c r="D156" s="243" t="s">
        <v>263</v>
      </c>
      <c r="E156" s="244">
        <v>345000</v>
      </c>
      <c r="F156" s="244">
        <v>175023.35</v>
      </c>
      <c r="G156" s="244">
        <v>270000</v>
      </c>
    </row>
    <row r="157" spans="2:7" x14ac:dyDescent="0.25">
      <c r="B157" s="177">
        <v>415000</v>
      </c>
      <c r="C157" s="178"/>
      <c r="D157" s="178" t="s">
        <v>9</v>
      </c>
      <c r="E157" s="158">
        <f>E162+E168+E175+E184+E193+E201+E159</f>
        <v>1381500</v>
      </c>
      <c r="F157" s="158">
        <f>F159+F162+F168+F175+F184+F193+F201</f>
        <v>1178205.77</v>
      </c>
      <c r="G157" s="158">
        <f>G160+G163+G164+G166+G165+G169+G170+G171+G172+G173+G176+G177+G178+G179+G180+G181+G182+G185+G186+G187+G188+G189+G190+G191+G194+G195+G196+G197+G198+G199+G202+G203+G204+G206+G205+G208+G209</f>
        <v>1783000</v>
      </c>
    </row>
    <row r="158" spans="2:7" x14ac:dyDescent="0.25">
      <c r="B158" s="246"/>
      <c r="C158" s="247"/>
      <c r="D158" s="245"/>
      <c r="E158" s="244"/>
      <c r="F158" s="244"/>
      <c r="G158" s="244"/>
    </row>
    <row r="159" spans="2:7" x14ac:dyDescent="0.25">
      <c r="B159" s="246"/>
      <c r="C159" s="247"/>
      <c r="D159" s="248" t="s">
        <v>264</v>
      </c>
      <c r="E159" s="249">
        <f>E160</f>
        <v>29000</v>
      </c>
      <c r="F159" s="249">
        <f>F160</f>
        <v>9414.1</v>
      </c>
      <c r="G159" s="249"/>
    </row>
    <row r="160" spans="2:7" x14ac:dyDescent="0.25">
      <c r="B160" s="246"/>
      <c r="C160" s="247"/>
      <c r="D160" s="245" t="s">
        <v>265</v>
      </c>
      <c r="E160" s="244">
        <v>29000</v>
      </c>
      <c r="F160" s="244">
        <v>9414.1</v>
      </c>
      <c r="G160" s="244">
        <v>29000</v>
      </c>
    </row>
    <row r="161" spans="2:7" x14ac:dyDescent="0.25">
      <c r="B161" s="246"/>
      <c r="C161" s="247"/>
      <c r="D161" s="245"/>
      <c r="E161" s="244"/>
      <c r="F161" s="244"/>
      <c r="G161" s="244"/>
    </row>
    <row r="162" spans="2:7" x14ac:dyDescent="0.25">
      <c r="B162" s="246"/>
      <c r="C162" s="247"/>
      <c r="D162" s="250" t="s">
        <v>364</v>
      </c>
      <c r="E162" s="251">
        <f>E163+E164+E165+E166</f>
        <v>64000</v>
      </c>
      <c r="F162" s="251">
        <f>F163+F164+F165+F166</f>
        <v>39500</v>
      </c>
      <c r="G162" s="251"/>
    </row>
    <row r="163" spans="2:7" x14ac:dyDescent="0.25">
      <c r="B163" s="252"/>
      <c r="C163" s="198"/>
      <c r="D163" s="167" t="s">
        <v>266</v>
      </c>
      <c r="E163" s="244">
        <v>29000</v>
      </c>
      <c r="F163" s="244">
        <f>3000+2500+2500+2000+3000+3000+4000</f>
        <v>20000</v>
      </c>
      <c r="G163" s="244">
        <v>29000</v>
      </c>
    </row>
    <row r="164" spans="2:7" x14ac:dyDescent="0.25">
      <c r="B164" s="252"/>
      <c r="C164" s="198"/>
      <c r="D164" s="167" t="s">
        <v>267</v>
      </c>
      <c r="E164" s="244">
        <v>19000</v>
      </c>
      <c r="F164" s="244">
        <f>1500+3000+2500+2000+3000+2000</f>
        <v>14000</v>
      </c>
      <c r="G164" s="244">
        <v>19000</v>
      </c>
    </row>
    <row r="165" spans="2:7" x14ac:dyDescent="0.25">
      <c r="B165" s="150"/>
      <c r="C165" s="150"/>
      <c r="D165" s="160" t="s">
        <v>268</v>
      </c>
      <c r="E165" s="244">
        <v>8000</v>
      </c>
      <c r="F165" s="244">
        <f>2500</f>
        <v>2500</v>
      </c>
      <c r="G165" s="244">
        <v>8000</v>
      </c>
    </row>
    <row r="166" spans="2:7" x14ac:dyDescent="0.25">
      <c r="B166" s="150"/>
      <c r="C166" s="150"/>
      <c r="D166" s="160" t="s">
        <v>269</v>
      </c>
      <c r="E166" s="244">
        <v>8000</v>
      </c>
      <c r="F166" s="244">
        <f>3000</f>
        <v>3000</v>
      </c>
      <c r="G166" s="244">
        <v>8000</v>
      </c>
    </row>
    <row r="167" spans="2:7" x14ac:dyDescent="0.25">
      <c r="B167" s="150"/>
      <c r="C167" s="150"/>
      <c r="D167" s="160"/>
      <c r="E167" s="244"/>
      <c r="F167" s="244"/>
      <c r="G167" s="244"/>
    </row>
    <row r="168" spans="2:7" x14ac:dyDescent="0.25">
      <c r="B168" s="150"/>
      <c r="C168" s="150"/>
      <c r="D168" s="253" t="s">
        <v>270</v>
      </c>
      <c r="E168" s="251">
        <f>E169+E170+E171+E172+E173</f>
        <v>26500</v>
      </c>
      <c r="F168" s="251">
        <f>F169+F170+F171+F172+F173</f>
        <v>23750</v>
      </c>
      <c r="G168" s="251"/>
    </row>
    <row r="169" spans="2:7" x14ac:dyDescent="0.25">
      <c r="B169" s="150"/>
      <c r="C169" s="150"/>
      <c r="D169" s="160" t="s">
        <v>271</v>
      </c>
      <c r="E169" s="244">
        <v>17000</v>
      </c>
      <c r="F169" s="244">
        <f>4000+4000+3000+3000+2000</f>
        <v>16000</v>
      </c>
      <c r="G169" s="244">
        <v>17000</v>
      </c>
    </row>
    <row r="170" spans="2:7" x14ac:dyDescent="0.25">
      <c r="B170" s="150"/>
      <c r="C170" s="150"/>
      <c r="D170" s="160" t="s">
        <v>272</v>
      </c>
      <c r="E170" s="244">
        <v>3000</v>
      </c>
      <c r="F170" s="244">
        <f>750+750+750</f>
        <v>2250</v>
      </c>
      <c r="G170" s="244">
        <v>3000</v>
      </c>
    </row>
    <row r="171" spans="2:7" x14ac:dyDescent="0.25">
      <c r="B171" s="150"/>
      <c r="C171" s="150"/>
      <c r="D171" s="160" t="s">
        <v>273</v>
      </c>
      <c r="E171" s="244">
        <v>2000</v>
      </c>
      <c r="F171" s="244">
        <f>2000</f>
        <v>2000</v>
      </c>
      <c r="G171" s="244">
        <v>2000</v>
      </c>
    </row>
    <row r="172" spans="2:7" x14ac:dyDescent="0.25">
      <c r="B172" s="243"/>
      <c r="C172" s="243"/>
      <c r="D172" s="245" t="s">
        <v>274</v>
      </c>
      <c r="E172" s="244">
        <v>3000</v>
      </c>
      <c r="F172" s="244">
        <f>1000+1000</f>
        <v>2000</v>
      </c>
      <c r="G172" s="244">
        <v>3000</v>
      </c>
    </row>
    <row r="173" spans="2:7" x14ac:dyDescent="0.25">
      <c r="B173" s="243"/>
      <c r="C173" s="243"/>
      <c r="D173" s="245" t="s">
        <v>275</v>
      </c>
      <c r="E173" s="244">
        <v>1500</v>
      </c>
      <c r="F173" s="244">
        <f>1500</f>
        <v>1500</v>
      </c>
      <c r="G173" s="244">
        <v>1500</v>
      </c>
    </row>
    <row r="174" spans="2:7" x14ac:dyDescent="0.25">
      <c r="B174" s="243"/>
      <c r="C174" s="243"/>
      <c r="D174" s="245"/>
      <c r="E174" s="244"/>
      <c r="F174" s="244"/>
      <c r="G174" s="244"/>
    </row>
    <row r="175" spans="2:7" x14ac:dyDescent="0.25">
      <c r="B175" s="243"/>
      <c r="C175" s="243"/>
      <c r="D175" s="250" t="s">
        <v>276</v>
      </c>
      <c r="E175" s="251">
        <f>E176+E177+E178+E179+E180+E181+E182</f>
        <v>21500</v>
      </c>
      <c r="F175" s="251">
        <f>F176+F177+F178+F179+F180+F181+F182</f>
        <v>17000</v>
      </c>
      <c r="G175" s="251"/>
    </row>
    <row r="176" spans="2:7" x14ac:dyDescent="0.25">
      <c r="B176" s="150"/>
      <c r="C176" s="150"/>
      <c r="D176" s="160" t="s">
        <v>277</v>
      </c>
      <c r="E176" s="244">
        <v>5500</v>
      </c>
      <c r="F176" s="244">
        <f>1000+2000</f>
        <v>3000</v>
      </c>
      <c r="G176" s="244">
        <v>5500</v>
      </c>
    </row>
    <row r="177" spans="2:7" x14ac:dyDescent="0.25">
      <c r="B177" s="150"/>
      <c r="C177" s="150"/>
      <c r="D177" s="160" t="s">
        <v>278</v>
      </c>
      <c r="E177" s="244">
        <v>5000</v>
      </c>
      <c r="F177" s="244">
        <f>2000+2500+1500</f>
        <v>6000</v>
      </c>
      <c r="G177" s="244">
        <v>7500</v>
      </c>
    </row>
    <row r="178" spans="2:7" x14ac:dyDescent="0.25">
      <c r="B178" s="150"/>
      <c r="C178" s="150"/>
      <c r="D178" s="160" t="s">
        <v>279</v>
      </c>
      <c r="E178" s="244">
        <v>2000</v>
      </c>
      <c r="F178" s="244">
        <f>2000</f>
        <v>2000</v>
      </c>
      <c r="G178" s="244">
        <v>4000</v>
      </c>
    </row>
    <row r="179" spans="2:7" x14ac:dyDescent="0.25">
      <c r="B179" s="150"/>
      <c r="C179" s="150"/>
      <c r="D179" s="160" t="s">
        <v>280</v>
      </c>
      <c r="E179" s="244">
        <v>5000</v>
      </c>
      <c r="F179" s="244">
        <f>1000+4000</f>
        <v>5000</v>
      </c>
      <c r="G179" s="244">
        <v>6000</v>
      </c>
    </row>
    <row r="180" spans="2:7" x14ac:dyDescent="0.25">
      <c r="B180" s="150"/>
      <c r="C180" s="150"/>
      <c r="D180" s="160" t="s">
        <v>365</v>
      </c>
      <c r="E180" s="244">
        <v>2000</v>
      </c>
      <c r="F180" s="244">
        <f>0</f>
        <v>0</v>
      </c>
      <c r="G180" s="244">
        <v>2000</v>
      </c>
    </row>
    <row r="181" spans="2:7" x14ac:dyDescent="0.25">
      <c r="B181" s="150"/>
      <c r="C181" s="150"/>
      <c r="D181" s="160" t="s">
        <v>366</v>
      </c>
      <c r="E181" s="244">
        <v>1000</v>
      </c>
      <c r="F181" s="244">
        <f>1000</f>
        <v>1000</v>
      </c>
      <c r="G181" s="244">
        <v>2000</v>
      </c>
    </row>
    <row r="182" spans="2:7" x14ac:dyDescent="0.25">
      <c r="B182" s="150"/>
      <c r="C182" s="150"/>
      <c r="D182" s="160" t="s">
        <v>367</v>
      </c>
      <c r="E182" s="244">
        <v>1000</v>
      </c>
      <c r="F182" s="244">
        <f>0</f>
        <v>0</v>
      </c>
      <c r="G182" s="244">
        <v>1000</v>
      </c>
    </row>
    <row r="183" spans="2:7" x14ac:dyDescent="0.25">
      <c r="B183" s="150"/>
      <c r="C183" s="150"/>
      <c r="D183" s="160"/>
      <c r="E183" s="244"/>
      <c r="F183" s="244"/>
      <c r="G183" s="244"/>
    </row>
    <row r="184" spans="2:7" x14ac:dyDescent="0.25">
      <c r="B184" s="150"/>
      <c r="C184" s="150"/>
      <c r="D184" s="253" t="s">
        <v>281</v>
      </c>
      <c r="E184" s="251">
        <f>E186+E187+E188+E189+E190+E185+E191</f>
        <v>87500</v>
      </c>
      <c r="F184" s="251">
        <f>F185+F186+F187+F188+F189+F190+F191</f>
        <v>76500</v>
      </c>
      <c r="G184" s="251"/>
    </row>
    <row r="185" spans="2:7" x14ac:dyDescent="0.25">
      <c r="B185" s="254"/>
      <c r="C185" s="254"/>
      <c r="D185" s="255" t="s">
        <v>282</v>
      </c>
      <c r="E185" s="256">
        <v>17000</v>
      </c>
      <c r="F185" s="256">
        <f>4000+4000+4000</f>
        <v>12000</v>
      </c>
      <c r="G185" s="256">
        <v>17000</v>
      </c>
    </row>
    <row r="186" spans="2:7" x14ac:dyDescent="0.25">
      <c r="B186" s="243"/>
      <c r="C186" s="243"/>
      <c r="D186" s="257" t="s">
        <v>283</v>
      </c>
      <c r="E186" s="244">
        <v>12500</v>
      </c>
      <c r="F186" s="244">
        <f>1000+2000+1500+2000+1500+4500</f>
        <v>12500</v>
      </c>
      <c r="G186" s="244">
        <v>12500</v>
      </c>
    </row>
    <row r="187" spans="2:7" x14ac:dyDescent="0.25">
      <c r="B187" s="243"/>
      <c r="C187" s="243"/>
      <c r="D187" s="245" t="s">
        <v>284</v>
      </c>
      <c r="E187" s="244">
        <v>5000</v>
      </c>
      <c r="F187" s="244">
        <f>5000</f>
        <v>5000</v>
      </c>
      <c r="G187" s="244">
        <v>5000</v>
      </c>
    </row>
    <row r="188" spans="2:7" x14ac:dyDescent="0.25">
      <c r="B188" s="243"/>
      <c r="C188" s="243"/>
      <c r="D188" s="245" t="s">
        <v>285</v>
      </c>
      <c r="E188" s="244">
        <v>8500</v>
      </c>
      <c r="F188" s="244">
        <f>3000+1000+1500</f>
        <v>5500</v>
      </c>
      <c r="G188" s="244">
        <v>8500</v>
      </c>
    </row>
    <row r="189" spans="2:7" x14ac:dyDescent="0.25">
      <c r="B189" s="243"/>
      <c r="C189" s="243"/>
      <c r="D189" s="245" t="s">
        <v>286</v>
      </c>
      <c r="E189" s="244">
        <v>1500</v>
      </c>
      <c r="F189" s="244">
        <f>1500</f>
        <v>1500</v>
      </c>
      <c r="G189" s="244">
        <v>1500</v>
      </c>
    </row>
    <row r="190" spans="2:7" x14ac:dyDescent="0.25">
      <c r="B190" s="243"/>
      <c r="C190" s="243"/>
      <c r="D190" s="245" t="s">
        <v>287</v>
      </c>
      <c r="E190" s="244">
        <v>3000</v>
      </c>
      <c r="F190" s="244">
        <f>0</f>
        <v>0</v>
      </c>
      <c r="G190" s="244">
        <v>3000</v>
      </c>
    </row>
    <row r="191" spans="2:7" x14ac:dyDescent="0.25">
      <c r="B191" s="243"/>
      <c r="C191" s="243"/>
      <c r="D191" s="245" t="s">
        <v>288</v>
      </c>
      <c r="E191" s="244">
        <v>40000</v>
      </c>
      <c r="F191" s="244">
        <f>40000</f>
        <v>40000</v>
      </c>
      <c r="G191" s="244">
        <v>70000</v>
      </c>
    </row>
    <row r="192" spans="2:7" x14ac:dyDescent="0.25">
      <c r="B192" s="243"/>
      <c r="C192" s="243"/>
      <c r="D192" s="245"/>
      <c r="E192" s="244"/>
      <c r="F192" s="244"/>
      <c r="G192" s="244"/>
    </row>
    <row r="193" spans="2:7" x14ac:dyDescent="0.25">
      <c r="B193" s="243"/>
      <c r="C193" s="243"/>
      <c r="D193" s="250" t="s">
        <v>289</v>
      </c>
      <c r="E193" s="251">
        <f>E194+E195+E196+E197+E198+E199</f>
        <v>24000</v>
      </c>
      <c r="F193" s="251">
        <f>F194+F195+F196+F197+F198+F199</f>
        <v>16665.16</v>
      </c>
      <c r="G193" s="251"/>
    </row>
    <row r="194" spans="2:7" x14ac:dyDescent="0.25">
      <c r="B194" s="243"/>
      <c r="C194" s="243"/>
      <c r="D194" s="245" t="s">
        <v>290</v>
      </c>
      <c r="E194" s="244">
        <v>4000</v>
      </c>
      <c r="F194" s="244">
        <v>0</v>
      </c>
      <c r="G194" s="244">
        <v>4000</v>
      </c>
    </row>
    <row r="195" spans="2:7" x14ac:dyDescent="0.25">
      <c r="B195" s="243"/>
      <c r="C195" s="243"/>
      <c r="D195" s="245" t="s">
        <v>291</v>
      </c>
      <c r="E195" s="244">
        <v>4000</v>
      </c>
      <c r="F195" s="244">
        <f>3000</f>
        <v>3000</v>
      </c>
      <c r="G195" s="244">
        <v>4000</v>
      </c>
    </row>
    <row r="196" spans="2:7" x14ac:dyDescent="0.25">
      <c r="B196" s="243"/>
      <c r="C196" s="243"/>
      <c r="D196" s="245" t="s">
        <v>292</v>
      </c>
      <c r="E196" s="244">
        <v>4000</v>
      </c>
      <c r="F196" s="244">
        <v>0</v>
      </c>
      <c r="G196" s="244">
        <v>15000</v>
      </c>
    </row>
    <row r="197" spans="2:7" x14ac:dyDescent="0.25">
      <c r="B197" s="243"/>
      <c r="C197" s="243"/>
      <c r="D197" s="245" t="s">
        <v>293</v>
      </c>
      <c r="E197" s="244">
        <v>4000</v>
      </c>
      <c r="F197" s="244">
        <f>2069+4000+2500</f>
        <v>8569</v>
      </c>
      <c r="G197" s="244">
        <v>9000</v>
      </c>
    </row>
    <row r="198" spans="2:7" x14ac:dyDescent="0.25">
      <c r="B198" s="243"/>
      <c r="C198" s="243"/>
      <c r="D198" s="245" t="s">
        <v>294</v>
      </c>
      <c r="E198" s="244">
        <v>4000</v>
      </c>
      <c r="F198" s="244">
        <f>3096.16</f>
        <v>3096.16</v>
      </c>
      <c r="G198" s="244">
        <v>4000</v>
      </c>
    </row>
    <row r="199" spans="2:7" x14ac:dyDescent="0.25">
      <c r="B199" s="243"/>
      <c r="C199" s="243"/>
      <c r="D199" s="245" t="s">
        <v>295</v>
      </c>
      <c r="E199" s="244">
        <v>4000</v>
      </c>
      <c r="F199" s="244">
        <f>2000</f>
        <v>2000</v>
      </c>
      <c r="G199" s="244">
        <v>4000</v>
      </c>
    </row>
    <row r="200" spans="2:7" x14ac:dyDescent="0.25">
      <c r="B200" s="243"/>
      <c r="C200" s="243"/>
      <c r="D200" s="245"/>
      <c r="E200" s="244"/>
      <c r="F200" s="244"/>
      <c r="G200" s="244"/>
    </row>
    <row r="201" spans="2:7" x14ac:dyDescent="0.25">
      <c r="B201" s="258"/>
      <c r="C201" s="258"/>
      <c r="D201" s="259" t="s">
        <v>296</v>
      </c>
      <c r="E201" s="260">
        <f>E202+E203+E204+E205+E206+E207+E208+E209</f>
        <v>1129000</v>
      </c>
      <c r="F201" s="260">
        <f>F202+F203+F204+F205+F206+F207+F208+F209</f>
        <v>995376.51</v>
      </c>
      <c r="G201" s="260"/>
    </row>
    <row r="202" spans="2:7" x14ac:dyDescent="0.25">
      <c r="B202" s="321"/>
      <c r="C202" s="321"/>
      <c r="D202" s="322" t="s">
        <v>297</v>
      </c>
      <c r="E202" s="323">
        <v>500000</v>
      </c>
      <c r="F202" s="323">
        <f>60000+15000+15000+6000+10000+10000+50000+60000+8000+50000+5000+70000+5000+65000+7000</f>
        <v>436000</v>
      </c>
      <c r="G202" s="323">
        <v>581000</v>
      </c>
    </row>
    <row r="203" spans="2:7" x14ac:dyDescent="0.25">
      <c r="B203" s="258"/>
      <c r="C203" s="258"/>
      <c r="D203" s="261" t="s">
        <v>298</v>
      </c>
      <c r="E203" s="262">
        <v>140000</v>
      </c>
      <c r="F203" s="262">
        <f>4000+1000+10000+8000+2000+13000+2000+12000+11000+11000+2000+10000+10000</f>
        <v>96000</v>
      </c>
      <c r="G203" s="262">
        <v>140000</v>
      </c>
    </row>
    <row r="204" spans="2:7" x14ac:dyDescent="0.25">
      <c r="B204" s="258"/>
      <c r="C204" s="258"/>
      <c r="D204" s="261" t="s">
        <v>299</v>
      </c>
      <c r="E204" s="262">
        <v>120000</v>
      </c>
      <c r="F204" s="262">
        <f>12000+25000+10000+10000+38000+40000+10000+20000+12000+10000+15000+15000</f>
        <v>217000</v>
      </c>
      <c r="G204" s="262">
        <v>370000</v>
      </c>
    </row>
    <row r="205" spans="2:7" x14ac:dyDescent="0.25">
      <c r="B205" s="258"/>
      <c r="C205" s="258"/>
      <c r="D205" s="261" t="s">
        <v>300</v>
      </c>
      <c r="E205" s="262">
        <v>140000</v>
      </c>
      <c r="F205" s="262">
        <f>3000+4000+10000+8000+4000+14000+7500+10000+2000+10000+15000+10000+15000</f>
        <v>112500</v>
      </c>
      <c r="G205" s="262">
        <v>158000</v>
      </c>
    </row>
    <row r="206" spans="2:7" x14ac:dyDescent="0.25">
      <c r="B206" s="258"/>
      <c r="C206" s="258"/>
      <c r="D206" s="261" t="s">
        <v>301</v>
      </c>
      <c r="E206" s="262">
        <v>110000</v>
      </c>
      <c r="F206" s="262">
        <f>68876.51</f>
        <v>68876.509999999995</v>
      </c>
      <c r="G206" s="262">
        <v>110000</v>
      </c>
    </row>
    <row r="207" spans="2:7" x14ac:dyDescent="0.25">
      <c r="B207" s="258"/>
      <c r="C207" s="258"/>
      <c r="D207" s="261" t="s">
        <v>302</v>
      </c>
      <c r="E207" s="262">
        <v>0</v>
      </c>
      <c r="F207" s="262">
        <v>0</v>
      </c>
      <c r="G207" s="262">
        <v>0</v>
      </c>
    </row>
    <row r="208" spans="2:7" x14ac:dyDescent="0.25">
      <c r="B208" s="258"/>
      <c r="C208" s="258"/>
      <c r="D208" s="258" t="s">
        <v>303</v>
      </c>
      <c r="E208" s="262">
        <v>99000</v>
      </c>
      <c r="F208" s="262">
        <f>65000</f>
        <v>65000</v>
      </c>
      <c r="G208" s="262">
        <v>99000</v>
      </c>
    </row>
    <row r="209" spans="2:7" x14ac:dyDescent="0.25">
      <c r="B209" s="258"/>
      <c r="C209" s="258"/>
      <c r="D209" s="258" t="s">
        <v>368</v>
      </c>
      <c r="E209" s="262">
        <v>20000</v>
      </c>
      <c r="F209" s="262">
        <v>0</v>
      </c>
      <c r="G209" s="262">
        <v>20000</v>
      </c>
    </row>
    <row r="210" spans="2:7" x14ac:dyDescent="0.25">
      <c r="B210" s="346" t="s">
        <v>5</v>
      </c>
      <c r="C210" s="346"/>
      <c r="D210" s="346"/>
      <c r="E210" s="171">
        <f>E148</f>
        <v>1938500</v>
      </c>
      <c r="F210" s="171"/>
      <c r="G210" s="171">
        <f>G157+G155+G151+G149</f>
        <v>2265000</v>
      </c>
    </row>
    <row r="211" spans="2:7" x14ac:dyDescent="0.25">
      <c r="B211" s="150"/>
      <c r="C211" s="150"/>
      <c r="D211" s="150"/>
      <c r="E211" s="152"/>
      <c r="F211" s="152"/>
      <c r="G211" s="152"/>
    </row>
    <row r="212" spans="2:7" x14ac:dyDescent="0.25">
      <c r="B212" s="150"/>
      <c r="C212" s="150"/>
      <c r="D212" s="150"/>
      <c r="E212" s="152"/>
      <c r="F212" s="152"/>
      <c r="G212" s="152"/>
    </row>
    <row r="213" spans="2:7" x14ac:dyDescent="0.25">
      <c r="B213" s="150"/>
      <c r="C213" s="150"/>
      <c r="D213" s="208" t="s">
        <v>304</v>
      </c>
      <c r="E213" s="152"/>
      <c r="F213" s="152"/>
      <c r="G213" s="152"/>
    </row>
    <row r="214" spans="2:7" x14ac:dyDescent="0.25">
      <c r="B214" s="150"/>
      <c r="C214" s="150"/>
      <c r="D214" s="151" t="s">
        <v>305</v>
      </c>
      <c r="E214" s="152"/>
      <c r="F214" s="152"/>
      <c r="G214" s="152"/>
    </row>
    <row r="215" spans="2:7" x14ac:dyDescent="0.25">
      <c r="B215" s="153">
        <v>410000</v>
      </c>
      <c r="C215" s="154"/>
      <c r="D215" s="263" t="s">
        <v>166</v>
      </c>
      <c r="E215" s="264"/>
      <c r="F215" s="264"/>
      <c r="G215" s="264"/>
    </row>
    <row r="216" spans="2:7" x14ac:dyDescent="0.25">
      <c r="B216" s="265">
        <v>412000</v>
      </c>
      <c r="C216" s="186"/>
      <c r="D216" s="266" t="s">
        <v>8</v>
      </c>
      <c r="E216" s="184">
        <f>E217+E218+E219+E220</f>
        <v>184000</v>
      </c>
      <c r="F216" s="184">
        <f>F217+F218+F219+F220</f>
        <v>100423.67</v>
      </c>
      <c r="G216" s="184">
        <f>G217+G218+G219+G220</f>
        <v>194000</v>
      </c>
    </row>
    <row r="217" spans="2:7" x14ac:dyDescent="0.25">
      <c r="B217" s="267">
        <v>412700</v>
      </c>
      <c r="C217" s="150"/>
      <c r="D217" s="268" t="s">
        <v>306</v>
      </c>
      <c r="E217" s="152">
        <v>100000</v>
      </c>
      <c r="F217" s="152">
        <f>74717.67</f>
        <v>74717.67</v>
      </c>
      <c r="G217" s="152">
        <v>110000</v>
      </c>
    </row>
    <row r="218" spans="2:7" x14ac:dyDescent="0.25">
      <c r="B218" s="269"/>
      <c r="C218" s="150"/>
      <c r="D218" s="268" t="s">
        <v>307</v>
      </c>
      <c r="E218" s="152">
        <v>30000</v>
      </c>
      <c r="F218" s="152">
        <f>3159</f>
        <v>3159</v>
      </c>
      <c r="G218" s="152">
        <v>30000</v>
      </c>
    </row>
    <row r="219" spans="2:7" x14ac:dyDescent="0.25">
      <c r="B219" s="269"/>
      <c r="C219" s="150"/>
      <c r="D219" s="189" t="s">
        <v>308</v>
      </c>
      <c r="E219" s="152">
        <v>45000</v>
      </c>
      <c r="F219" s="152">
        <f>22547</f>
        <v>22547</v>
      </c>
      <c r="G219" s="152">
        <v>45000</v>
      </c>
    </row>
    <row r="220" spans="2:7" x14ac:dyDescent="0.25">
      <c r="B220" s="269"/>
      <c r="C220" s="150"/>
      <c r="D220" s="268" t="s">
        <v>173</v>
      </c>
      <c r="E220" s="152">
        <v>9000</v>
      </c>
      <c r="F220" s="152">
        <v>0</v>
      </c>
      <c r="G220" s="152">
        <v>9000</v>
      </c>
    </row>
    <row r="221" spans="2:7" x14ac:dyDescent="0.25">
      <c r="B221" s="153">
        <v>510000</v>
      </c>
      <c r="C221" s="154"/>
      <c r="D221" s="270" t="s">
        <v>180</v>
      </c>
      <c r="E221" s="155">
        <f>E222+E223</f>
        <v>612000</v>
      </c>
      <c r="F221" s="155">
        <f>F222+F223</f>
        <v>222215.45</v>
      </c>
      <c r="G221" s="155">
        <f>G222+G223</f>
        <v>472500</v>
      </c>
    </row>
    <row r="222" spans="2:7" x14ac:dyDescent="0.25">
      <c r="B222" s="150"/>
      <c r="C222" s="150"/>
      <c r="D222" s="189" t="s">
        <v>309</v>
      </c>
      <c r="E222" s="152">
        <f>245000+50000+20000+22000+25000</f>
        <v>362000</v>
      </c>
      <c r="F222" s="152">
        <f>157215.45+65000</f>
        <v>222215.45</v>
      </c>
      <c r="G222" s="152">
        <v>222500</v>
      </c>
    </row>
    <row r="223" spans="2:7" x14ac:dyDescent="0.25">
      <c r="B223" s="150"/>
      <c r="C223" s="150"/>
      <c r="D223" s="189" t="s">
        <v>369</v>
      </c>
      <c r="E223" s="152">
        <v>250000</v>
      </c>
      <c r="F223" s="152">
        <v>0</v>
      </c>
      <c r="G223" s="152">
        <v>250000</v>
      </c>
    </row>
    <row r="224" spans="2:7" x14ac:dyDescent="0.25">
      <c r="B224" s="346" t="s">
        <v>5</v>
      </c>
      <c r="C224" s="346"/>
      <c r="D224" s="346"/>
      <c r="E224" s="271">
        <f>E221+E216</f>
        <v>796000</v>
      </c>
      <c r="F224" s="271">
        <f>F221+F216</f>
        <v>322639.12</v>
      </c>
      <c r="G224" s="271">
        <f>G216+G221</f>
        <v>666500</v>
      </c>
    </row>
    <row r="225" spans="2:7" x14ac:dyDescent="0.25">
      <c r="B225" s="150"/>
      <c r="C225" s="150"/>
      <c r="D225" s="150"/>
      <c r="E225" s="152"/>
      <c r="F225" s="152"/>
      <c r="G225" s="152"/>
    </row>
    <row r="226" spans="2:7" x14ac:dyDescent="0.25">
      <c r="B226" s="150"/>
      <c r="C226" s="150"/>
      <c r="D226" s="150"/>
      <c r="E226" s="152"/>
      <c r="F226" s="152"/>
      <c r="G226" s="152"/>
    </row>
    <row r="227" spans="2:7" ht="28.5" x14ac:dyDescent="0.25">
      <c r="B227" s="150"/>
      <c r="C227" s="150"/>
      <c r="D227" s="272" t="s">
        <v>310</v>
      </c>
      <c r="E227" s="152"/>
      <c r="F227" s="152"/>
      <c r="G227" s="152"/>
    </row>
    <row r="228" spans="2:7" x14ac:dyDescent="0.25">
      <c r="B228" s="150"/>
      <c r="C228" s="150"/>
      <c r="D228" s="273" t="s">
        <v>311</v>
      </c>
      <c r="E228" s="152"/>
      <c r="F228" s="152"/>
      <c r="G228" s="152"/>
    </row>
    <row r="229" spans="2:7" x14ac:dyDescent="0.25">
      <c r="B229" s="274">
        <v>410000</v>
      </c>
      <c r="C229" s="275"/>
      <c r="D229" s="276" t="s">
        <v>166</v>
      </c>
      <c r="E229" s="277">
        <f>E230+E232+E238+E241+E252</f>
        <v>501500</v>
      </c>
      <c r="F229" s="277"/>
      <c r="G229" s="277"/>
    </row>
    <row r="230" spans="2:7" x14ac:dyDescent="0.25">
      <c r="B230" s="278">
        <v>412200</v>
      </c>
      <c r="C230" s="279"/>
      <c r="D230" s="280" t="s">
        <v>312</v>
      </c>
      <c r="E230" s="281">
        <f>E231</f>
        <v>14000</v>
      </c>
      <c r="F230" s="281">
        <f>F231</f>
        <v>12891.88</v>
      </c>
      <c r="G230" s="281">
        <f>G231</f>
        <v>14000</v>
      </c>
    </row>
    <row r="231" spans="2:7" x14ac:dyDescent="0.25">
      <c r="B231" s="282"/>
      <c r="C231" s="283"/>
      <c r="D231" s="284" t="s">
        <v>313</v>
      </c>
      <c r="E231" s="285">
        <v>14000</v>
      </c>
      <c r="F231" s="285">
        <v>12891.88</v>
      </c>
      <c r="G231" s="285">
        <v>14000</v>
      </c>
    </row>
    <row r="232" spans="2:7" x14ac:dyDescent="0.25">
      <c r="B232" s="286">
        <v>412500</v>
      </c>
      <c r="C232" s="287"/>
      <c r="D232" s="288" t="s">
        <v>193</v>
      </c>
      <c r="E232" s="289">
        <f>SUM(E233:E237)</f>
        <v>175000</v>
      </c>
      <c r="F232" s="289">
        <f>F233+F234+F235+F236+F237</f>
        <v>121235.8</v>
      </c>
      <c r="G232" s="289">
        <f>G233+G234+G235+G236+G237</f>
        <v>286000</v>
      </c>
    </row>
    <row r="233" spans="2:7" x14ac:dyDescent="0.25">
      <c r="B233" s="290"/>
      <c r="C233" s="167"/>
      <c r="D233" s="189" t="s">
        <v>314</v>
      </c>
      <c r="E233" s="291">
        <v>5000</v>
      </c>
      <c r="F233" s="291">
        <v>450</v>
      </c>
      <c r="G233" s="291">
        <v>1000</v>
      </c>
    </row>
    <row r="234" spans="2:7" x14ac:dyDescent="0.25">
      <c r="B234" s="292"/>
      <c r="C234" s="160"/>
      <c r="D234" s="189" t="s">
        <v>315</v>
      </c>
      <c r="E234" s="291">
        <v>40000</v>
      </c>
      <c r="F234" s="291">
        <v>0</v>
      </c>
      <c r="G234" s="291">
        <v>20000</v>
      </c>
    </row>
    <row r="235" spans="2:7" x14ac:dyDescent="0.25">
      <c r="B235" s="292"/>
      <c r="C235" s="160"/>
      <c r="D235" s="189" t="s">
        <v>316</v>
      </c>
      <c r="E235" s="291">
        <v>25000</v>
      </c>
      <c r="F235" s="291">
        <v>0</v>
      </c>
      <c r="G235" s="291">
        <v>25000</v>
      </c>
    </row>
    <row r="236" spans="2:7" ht="28.5" x14ac:dyDescent="0.25">
      <c r="B236" s="292"/>
      <c r="C236" s="160"/>
      <c r="D236" s="293" t="s">
        <v>317</v>
      </c>
      <c r="E236" s="291">
        <v>100000</v>
      </c>
      <c r="F236" s="291">
        <v>99318.07</v>
      </c>
      <c r="G236" s="291">
        <v>210000</v>
      </c>
    </row>
    <row r="237" spans="2:7" x14ac:dyDescent="0.25">
      <c r="B237" s="292"/>
      <c r="C237" s="160"/>
      <c r="D237" s="293" t="s">
        <v>318</v>
      </c>
      <c r="E237" s="291">
        <v>5000</v>
      </c>
      <c r="F237" s="291">
        <v>21467.73</v>
      </c>
      <c r="G237" s="291">
        <v>30000</v>
      </c>
    </row>
    <row r="238" spans="2:7" x14ac:dyDescent="0.25">
      <c r="B238" s="294">
        <v>412700</v>
      </c>
      <c r="C238" s="295"/>
      <c r="D238" s="296" t="s">
        <v>6</v>
      </c>
      <c r="E238" s="297">
        <f>E239+E240</f>
        <v>40000</v>
      </c>
      <c r="F238" s="297">
        <f>F239</f>
        <v>0</v>
      </c>
      <c r="G238" s="297">
        <f>G239+G240</f>
        <v>5000</v>
      </c>
    </row>
    <row r="239" spans="2:7" x14ac:dyDescent="0.25">
      <c r="B239" s="298"/>
      <c r="C239" s="283"/>
      <c r="D239" s="299" t="s">
        <v>319</v>
      </c>
      <c r="E239" s="300">
        <v>5000</v>
      </c>
      <c r="F239" s="300">
        <v>0</v>
      </c>
      <c r="G239" s="300">
        <v>5000</v>
      </c>
    </row>
    <row r="240" spans="2:7" x14ac:dyDescent="0.25">
      <c r="B240" s="298"/>
      <c r="C240" s="283"/>
      <c r="D240" s="299" t="s">
        <v>320</v>
      </c>
      <c r="E240" s="300">
        <v>35000</v>
      </c>
      <c r="F240" s="300">
        <v>0</v>
      </c>
      <c r="G240" s="300">
        <v>0</v>
      </c>
    </row>
    <row r="241" spans="2:7" x14ac:dyDescent="0.25">
      <c r="B241" s="294">
        <v>412800</v>
      </c>
      <c r="C241" s="295"/>
      <c r="D241" s="296" t="s">
        <v>321</v>
      </c>
      <c r="E241" s="297">
        <f>SUM(E242:E251)</f>
        <v>268500</v>
      </c>
      <c r="F241" s="297">
        <f>F242+F246+F247+F248+F249+F249</f>
        <v>243519.77999999997</v>
      </c>
      <c r="G241" s="297">
        <f>G242+G243+G244+G245+G246+G247+G248+G249+G250+G251</f>
        <v>278500</v>
      </c>
    </row>
    <row r="242" spans="2:7" ht="28.5" x14ac:dyDescent="0.25">
      <c r="B242" s="324"/>
      <c r="C242" s="325"/>
      <c r="D242" s="326" t="s">
        <v>322</v>
      </c>
      <c r="E242" s="327">
        <v>80000</v>
      </c>
      <c r="F242" s="347">
        <v>119396.64</v>
      </c>
      <c r="G242" s="327">
        <v>80000</v>
      </c>
    </row>
    <row r="243" spans="2:7" ht="28.5" x14ac:dyDescent="0.25">
      <c r="B243" s="290"/>
      <c r="C243" s="167"/>
      <c r="D243" s="301" t="s">
        <v>323</v>
      </c>
      <c r="E243" s="302">
        <v>15000</v>
      </c>
      <c r="F243" s="348"/>
      <c r="G243" s="302">
        <v>15000</v>
      </c>
    </row>
    <row r="244" spans="2:7" ht="28.5" x14ac:dyDescent="0.25">
      <c r="B244" s="292"/>
      <c r="C244" s="160"/>
      <c r="D244" s="189" t="s">
        <v>324</v>
      </c>
      <c r="E244" s="291">
        <v>10000</v>
      </c>
      <c r="F244" s="348"/>
      <c r="G244" s="291">
        <v>10000</v>
      </c>
    </row>
    <row r="245" spans="2:7" x14ac:dyDescent="0.25">
      <c r="B245" s="292"/>
      <c r="C245" s="160"/>
      <c r="D245" s="189" t="s">
        <v>326</v>
      </c>
      <c r="E245" s="291">
        <v>13000</v>
      </c>
      <c r="F245" s="349"/>
      <c r="G245" s="291">
        <v>13000</v>
      </c>
    </row>
    <row r="246" spans="2:7" x14ac:dyDescent="0.25">
      <c r="B246" s="292"/>
      <c r="C246" s="160"/>
      <c r="D246" s="189" t="s">
        <v>325</v>
      </c>
      <c r="E246" s="291">
        <v>75000</v>
      </c>
      <c r="F246" s="291">
        <v>66959.990000000005</v>
      </c>
      <c r="G246" s="291">
        <v>85000</v>
      </c>
    </row>
    <row r="247" spans="2:7" x14ac:dyDescent="0.25">
      <c r="B247" s="292"/>
      <c r="C247" s="160"/>
      <c r="D247" s="189" t="s">
        <v>327</v>
      </c>
      <c r="E247" s="291">
        <v>48000</v>
      </c>
      <c r="F247" s="291">
        <v>35188.43</v>
      </c>
      <c r="G247" s="291">
        <v>48000</v>
      </c>
    </row>
    <row r="248" spans="2:7" x14ac:dyDescent="0.25">
      <c r="B248" s="292"/>
      <c r="C248" s="160"/>
      <c r="D248" s="189" t="s">
        <v>329</v>
      </c>
      <c r="E248" s="291">
        <v>7000</v>
      </c>
      <c r="F248" s="291">
        <v>5323.5</v>
      </c>
      <c r="G248" s="291">
        <v>7000</v>
      </c>
    </row>
    <row r="249" spans="2:7" x14ac:dyDescent="0.25">
      <c r="B249" s="292"/>
      <c r="C249" s="160"/>
      <c r="D249" s="189" t="s">
        <v>328</v>
      </c>
      <c r="E249" s="291">
        <v>15000</v>
      </c>
      <c r="F249" s="350">
        <v>8325.61</v>
      </c>
      <c r="G249" s="291">
        <v>15000</v>
      </c>
    </row>
    <row r="250" spans="2:7" x14ac:dyDescent="0.25">
      <c r="B250" s="292"/>
      <c r="C250" s="160"/>
      <c r="D250" s="189" t="s">
        <v>330</v>
      </c>
      <c r="E250" s="291">
        <v>3500</v>
      </c>
      <c r="F250" s="351"/>
      <c r="G250" s="291">
        <v>3500</v>
      </c>
    </row>
    <row r="251" spans="2:7" x14ac:dyDescent="0.25">
      <c r="B251" s="292"/>
      <c r="C251" s="160"/>
      <c r="D251" s="189" t="s">
        <v>331</v>
      </c>
      <c r="E251" s="291">
        <v>2000</v>
      </c>
      <c r="F251" s="352"/>
      <c r="G251" s="291">
        <v>2000</v>
      </c>
    </row>
    <row r="252" spans="2:7" x14ac:dyDescent="0.25">
      <c r="B252" s="303">
        <v>415200</v>
      </c>
      <c r="C252" s="304"/>
      <c r="D252" s="305" t="s">
        <v>332</v>
      </c>
      <c r="E252" s="306">
        <f>E253+E254</f>
        <v>4000</v>
      </c>
      <c r="F252" s="306">
        <f>F253+F254</f>
        <v>0</v>
      </c>
      <c r="G252" s="306">
        <f>G253+G254</f>
        <v>4000</v>
      </c>
    </row>
    <row r="253" spans="2:7" x14ac:dyDescent="0.25">
      <c r="B253" s="307"/>
      <c r="C253" s="245"/>
      <c r="D253" s="308" t="s">
        <v>333</v>
      </c>
      <c r="E253" s="285">
        <v>4000</v>
      </c>
      <c r="F253" s="285">
        <v>0</v>
      </c>
      <c r="G253" s="285">
        <v>4000</v>
      </c>
    </row>
    <row r="254" spans="2:7" x14ac:dyDescent="0.25">
      <c r="B254" s="307"/>
      <c r="C254" s="245"/>
      <c r="D254" s="308" t="s">
        <v>334</v>
      </c>
      <c r="E254" s="285">
        <v>0</v>
      </c>
      <c r="F254" s="285">
        <v>0</v>
      </c>
      <c r="G254" s="285">
        <v>0</v>
      </c>
    </row>
    <row r="255" spans="2:7" x14ac:dyDescent="0.25">
      <c r="B255" s="275">
        <v>510000</v>
      </c>
      <c r="C255" s="275"/>
      <c r="D255" s="270" t="s">
        <v>219</v>
      </c>
      <c r="E255" s="277">
        <f>SUM(E256:E266)</f>
        <v>3450000</v>
      </c>
      <c r="F255" s="277"/>
      <c r="G255" s="277">
        <f>G256+G257+G260+G261+G263+G265+G266+G267+G268+G269</f>
        <v>7054000</v>
      </c>
    </row>
    <row r="256" spans="2:7" ht="29.25" x14ac:dyDescent="0.25">
      <c r="B256" s="150"/>
      <c r="C256" s="150"/>
      <c r="D256" s="160" t="s">
        <v>370</v>
      </c>
      <c r="E256" s="152">
        <v>500000</v>
      </c>
      <c r="F256" s="152">
        <f>577267.57+109863</f>
        <v>687130.57</v>
      </c>
      <c r="G256" s="152">
        <v>850000</v>
      </c>
    </row>
    <row r="257" spans="2:7" x14ac:dyDescent="0.25">
      <c r="B257" s="150"/>
      <c r="C257" s="150"/>
      <c r="D257" s="150" t="s">
        <v>335</v>
      </c>
      <c r="E257" s="152">
        <v>1600000</v>
      </c>
      <c r="F257" s="152">
        <v>147438</v>
      </c>
      <c r="G257" s="152">
        <v>1839000</v>
      </c>
    </row>
    <row r="258" spans="2:7" x14ac:dyDescent="0.25">
      <c r="B258" s="150"/>
      <c r="C258" s="150"/>
      <c r="D258" s="150" t="s">
        <v>371</v>
      </c>
      <c r="E258" s="152">
        <v>0</v>
      </c>
      <c r="F258" s="152">
        <v>0</v>
      </c>
      <c r="G258" s="152">
        <v>0</v>
      </c>
    </row>
    <row r="259" spans="2:7" x14ac:dyDescent="0.25">
      <c r="B259" s="150"/>
      <c r="C259" s="150"/>
      <c r="D259" s="150" t="s">
        <v>336</v>
      </c>
      <c r="E259" s="152">
        <v>50000</v>
      </c>
      <c r="F259" s="152">
        <v>0</v>
      </c>
      <c r="G259" s="152">
        <v>0</v>
      </c>
    </row>
    <row r="260" spans="2:7" x14ac:dyDescent="0.25">
      <c r="B260" s="150"/>
      <c r="C260" s="150"/>
      <c r="D260" s="150" t="s">
        <v>337</v>
      </c>
      <c r="E260" s="152">
        <v>50000</v>
      </c>
      <c r="F260" s="152">
        <v>22844.03</v>
      </c>
      <c r="G260" s="152">
        <v>50000</v>
      </c>
    </row>
    <row r="261" spans="2:7" x14ac:dyDescent="0.25">
      <c r="B261" s="150"/>
      <c r="C261" s="150"/>
      <c r="D261" s="160" t="s">
        <v>372</v>
      </c>
      <c r="E261" s="152">
        <v>460000</v>
      </c>
      <c r="F261" s="152">
        <v>565490</v>
      </c>
      <c r="G261" s="152">
        <v>1250000</v>
      </c>
    </row>
    <row r="262" spans="2:7" x14ac:dyDescent="0.25">
      <c r="B262" s="150"/>
      <c r="C262" s="150"/>
      <c r="D262" s="160" t="s">
        <v>338</v>
      </c>
      <c r="E262" s="152">
        <v>15000</v>
      </c>
      <c r="F262" s="152">
        <v>0</v>
      </c>
      <c r="G262" s="152">
        <v>0</v>
      </c>
    </row>
    <row r="263" spans="2:7" ht="29.25" x14ac:dyDescent="0.25">
      <c r="B263" s="150"/>
      <c r="C263" s="150"/>
      <c r="D263" s="160" t="s">
        <v>373</v>
      </c>
      <c r="E263" s="152">
        <v>750000</v>
      </c>
      <c r="F263" s="152">
        <v>594520.29</v>
      </c>
      <c r="G263" s="152">
        <v>1650000</v>
      </c>
    </row>
    <row r="264" spans="2:7" x14ac:dyDescent="0.25">
      <c r="B264" s="150"/>
      <c r="C264" s="150"/>
      <c r="D264" s="160" t="s">
        <v>339</v>
      </c>
      <c r="E264" s="152">
        <v>0</v>
      </c>
      <c r="F264" s="152">
        <v>0</v>
      </c>
      <c r="G264" s="152">
        <v>0</v>
      </c>
    </row>
    <row r="265" spans="2:7" x14ac:dyDescent="0.25">
      <c r="B265" s="160"/>
      <c r="C265" s="160"/>
      <c r="D265" s="189" t="s">
        <v>340</v>
      </c>
      <c r="E265" s="152">
        <v>20000</v>
      </c>
      <c r="F265" s="152">
        <v>0</v>
      </c>
      <c r="G265" s="152">
        <v>25000</v>
      </c>
    </row>
    <row r="266" spans="2:7" x14ac:dyDescent="0.25">
      <c r="B266" s="160"/>
      <c r="C266" s="160"/>
      <c r="D266" s="301" t="s">
        <v>341</v>
      </c>
      <c r="E266" s="152">
        <v>5000</v>
      </c>
      <c r="F266" s="152">
        <v>0</v>
      </c>
      <c r="G266" s="152">
        <v>5000</v>
      </c>
    </row>
    <row r="267" spans="2:7" x14ac:dyDescent="0.25">
      <c r="B267" s="160"/>
      <c r="C267" s="160"/>
      <c r="D267" s="301" t="s">
        <v>374</v>
      </c>
      <c r="E267" s="152">
        <v>0</v>
      </c>
      <c r="F267" s="152">
        <v>0</v>
      </c>
      <c r="G267" s="152">
        <v>350000</v>
      </c>
    </row>
    <row r="268" spans="2:7" x14ac:dyDescent="0.25">
      <c r="B268" s="160"/>
      <c r="C268" s="160"/>
      <c r="D268" s="301" t="s">
        <v>334</v>
      </c>
      <c r="E268" s="152">
        <v>0</v>
      </c>
      <c r="F268" s="152">
        <v>0</v>
      </c>
      <c r="G268" s="152">
        <v>1000000</v>
      </c>
    </row>
    <row r="269" spans="2:7" x14ac:dyDescent="0.25">
      <c r="B269" s="160"/>
      <c r="C269" s="160"/>
      <c r="D269" s="301" t="s">
        <v>375</v>
      </c>
      <c r="E269" s="152">
        <v>0</v>
      </c>
      <c r="F269" s="152">
        <v>0</v>
      </c>
      <c r="G269" s="152">
        <v>35000</v>
      </c>
    </row>
    <row r="270" spans="2:7" ht="15.75" x14ac:dyDescent="0.25">
      <c r="B270" s="346" t="s">
        <v>5</v>
      </c>
      <c r="C270" s="346"/>
      <c r="D270" s="346"/>
      <c r="E270" s="309">
        <f>E255+E229</f>
        <v>3951500</v>
      </c>
      <c r="F270" s="309"/>
      <c r="G270" s="309">
        <f>G255+G252+G241+G238+G232+G230</f>
        <v>7641500</v>
      </c>
    </row>
    <row r="271" spans="2:7" x14ac:dyDescent="0.25">
      <c r="B271" s="145"/>
      <c r="C271" s="145"/>
      <c r="D271" s="145"/>
      <c r="E271" s="310"/>
      <c r="F271" s="310"/>
      <c r="G271" s="310"/>
    </row>
    <row r="272" spans="2:7" ht="18" x14ac:dyDescent="0.25">
      <c r="B272" s="342" t="s">
        <v>342</v>
      </c>
      <c r="C272" s="342"/>
      <c r="D272" s="342"/>
      <c r="E272" s="311">
        <f>E270+E224+E210+E143+E129+E94+E29</f>
        <v>9510828</v>
      </c>
      <c r="F272" s="311"/>
      <c r="G272" s="311">
        <f>G270+G224+G210+G143+G129+G94+G29</f>
        <v>13721790</v>
      </c>
    </row>
    <row r="273" spans="2:7" x14ac:dyDescent="0.25">
      <c r="B273" s="145"/>
      <c r="C273" s="145"/>
      <c r="D273" s="145"/>
      <c r="E273" s="310"/>
      <c r="F273" s="310"/>
      <c r="G273" s="310"/>
    </row>
    <row r="274" spans="2:7" x14ac:dyDescent="0.25">
      <c r="B274" s="145"/>
      <c r="C274" s="207"/>
      <c r="D274" s="145"/>
      <c r="E274" s="310"/>
      <c r="F274" s="310"/>
      <c r="G274" s="310"/>
    </row>
    <row r="275" spans="2:7" x14ac:dyDescent="0.25">
      <c r="B275" s="343"/>
      <c r="C275" s="343"/>
      <c r="D275" s="343"/>
      <c r="E275" s="312"/>
      <c r="F275" s="312"/>
      <c r="G275" s="312"/>
    </row>
    <row r="276" spans="2:7" x14ac:dyDescent="0.25">
      <c r="B276" s="145"/>
      <c r="C276" s="145"/>
      <c r="D276" s="145"/>
      <c r="E276" s="310"/>
      <c r="F276" s="310"/>
      <c r="G276" s="310"/>
    </row>
    <row r="277" spans="2:7" ht="18" x14ac:dyDescent="0.25">
      <c r="B277" s="344"/>
      <c r="C277" s="344"/>
      <c r="D277" s="344"/>
      <c r="E277" s="313"/>
      <c r="F277" s="313"/>
      <c r="G277" s="313"/>
    </row>
  </sheetData>
  <mergeCells count="15">
    <mergeCell ref="F242:F245"/>
    <mergeCell ref="F249:F251"/>
    <mergeCell ref="B270:D270"/>
    <mergeCell ref="B2:G2"/>
    <mergeCell ref="B3:C3"/>
    <mergeCell ref="B4:C4"/>
    <mergeCell ref="B29:D29"/>
    <mergeCell ref="B94:D94"/>
    <mergeCell ref="B129:D129"/>
    <mergeCell ref="B272:D272"/>
    <mergeCell ref="B275:D275"/>
    <mergeCell ref="B277:D277"/>
    <mergeCell ref="B143:D143"/>
    <mergeCell ref="B210:D210"/>
    <mergeCell ref="B224:D224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4"/>
  <sheetViews>
    <sheetView topLeftCell="A43" zoomScaleNormal="100" workbookViewId="0">
      <selection activeCell="E42" sqref="E42"/>
    </sheetView>
  </sheetViews>
  <sheetFormatPr defaultRowHeight="12.75" x14ac:dyDescent="0.25"/>
  <cols>
    <col min="1" max="1" width="9.140625" style="1"/>
    <col min="2" max="2" width="15" style="1" customWidth="1"/>
    <col min="3" max="3" width="61" style="46" customWidth="1"/>
    <col min="4" max="7" width="16.85546875" style="16" customWidth="1"/>
    <col min="8" max="9" width="9.140625" style="1"/>
    <col min="10" max="10" width="10.28515625" style="1" bestFit="1" customWidth="1"/>
    <col min="11" max="16384" width="9.140625" style="1"/>
  </cols>
  <sheetData>
    <row r="2" spans="2:7" ht="43.5" customHeight="1" x14ac:dyDescent="0.25">
      <c r="B2" s="359" t="s">
        <v>344</v>
      </c>
      <c r="C2" s="360"/>
      <c r="D2" s="360"/>
      <c r="E2" s="360"/>
      <c r="F2" s="360"/>
      <c r="G2" s="360"/>
    </row>
    <row r="4" spans="2:7" ht="38.25" x14ac:dyDescent="0.25">
      <c r="B4" s="2" t="s">
        <v>0</v>
      </c>
      <c r="C4" s="2" t="s">
        <v>1</v>
      </c>
      <c r="D4" s="3" t="s">
        <v>345</v>
      </c>
      <c r="E4" s="3" t="s">
        <v>346</v>
      </c>
      <c r="F4" s="3" t="s">
        <v>141</v>
      </c>
      <c r="G4" s="3" t="s">
        <v>158</v>
      </c>
    </row>
    <row r="5" spans="2:7" x14ac:dyDescent="0.25">
      <c r="B5" s="1">
        <v>1</v>
      </c>
      <c r="C5" s="1">
        <v>2</v>
      </c>
      <c r="D5" s="4">
        <v>3</v>
      </c>
      <c r="E5" s="4">
        <v>4</v>
      </c>
      <c r="F5" s="4">
        <v>5</v>
      </c>
      <c r="G5" s="4">
        <v>6</v>
      </c>
    </row>
    <row r="6" spans="2:7" ht="14.25" x14ac:dyDescent="0.25">
      <c r="B6" s="357" t="s">
        <v>46</v>
      </c>
      <c r="C6" s="357"/>
      <c r="D6" s="7">
        <f>D8+D11+D16+D18</f>
        <v>2271128</v>
      </c>
      <c r="E6" s="7">
        <f>E8+E11+E16+E18+E13</f>
        <v>2417928</v>
      </c>
      <c r="F6" s="7">
        <f>E6-D6</f>
        <v>146800</v>
      </c>
      <c r="G6" s="7">
        <f>E6/D6*100</f>
        <v>106.4637484104815</v>
      </c>
    </row>
    <row r="7" spans="2:7" ht="14.25" x14ac:dyDescent="0.25">
      <c r="C7" s="46" t="s">
        <v>145</v>
      </c>
      <c r="F7" s="104"/>
    </row>
    <row r="8" spans="2:7" ht="14.25" x14ac:dyDescent="0.25">
      <c r="B8" s="1">
        <v>713</v>
      </c>
      <c r="C8" s="46" t="s">
        <v>47</v>
      </c>
      <c r="D8" s="16">
        <f>D9+D10</f>
        <v>212000</v>
      </c>
      <c r="E8" s="16">
        <f>E9+E10</f>
        <v>346000</v>
      </c>
      <c r="F8" s="111">
        <f>E8-D8</f>
        <v>134000</v>
      </c>
      <c r="G8" s="14">
        <f>E8/D8*100</f>
        <v>163.20754716981131</v>
      </c>
    </row>
    <row r="9" spans="2:7" s="13" customFormat="1" ht="14.25" x14ac:dyDescent="0.25">
      <c r="B9" s="1"/>
      <c r="C9" s="13" t="s">
        <v>48</v>
      </c>
      <c r="D9" s="14">
        <v>12000</v>
      </c>
      <c r="E9" s="14">
        <v>16000</v>
      </c>
      <c r="F9" s="110">
        <f>E9-D9</f>
        <v>4000</v>
      </c>
      <c r="G9" s="14">
        <f t="shared" ref="G9:G18" si="0">E9/D9*100</f>
        <v>133.33333333333331</v>
      </c>
    </row>
    <row r="10" spans="2:7" s="13" customFormat="1" ht="14.25" x14ac:dyDescent="0.25">
      <c r="B10" s="1"/>
      <c r="C10" s="13" t="s">
        <v>49</v>
      </c>
      <c r="D10" s="14">
        <v>200000</v>
      </c>
      <c r="E10" s="14">
        <v>330000</v>
      </c>
      <c r="F10" s="110">
        <f t="shared" ref="F10:F18" si="1">E10-D10</f>
        <v>130000</v>
      </c>
      <c r="G10" s="14">
        <f t="shared" si="0"/>
        <v>165</v>
      </c>
    </row>
    <row r="11" spans="2:7" s="46" customFormat="1" ht="14.25" x14ac:dyDescent="0.25">
      <c r="B11" s="1">
        <v>714</v>
      </c>
      <c r="C11" s="46" t="s">
        <v>50</v>
      </c>
      <c r="D11" s="16">
        <f>D12</f>
        <v>35000</v>
      </c>
      <c r="E11" s="16">
        <f>E12</f>
        <v>48000</v>
      </c>
      <c r="F11" s="111">
        <f t="shared" si="1"/>
        <v>13000</v>
      </c>
      <c r="G11" s="112">
        <f t="shared" si="0"/>
        <v>137.14285714285714</v>
      </c>
    </row>
    <row r="12" spans="2:7" s="17" customFormat="1" ht="14.25" x14ac:dyDescent="0.25">
      <c r="B12" s="1"/>
      <c r="C12" s="13" t="s">
        <v>51</v>
      </c>
      <c r="D12" s="14">
        <v>35000</v>
      </c>
      <c r="E12" s="14">
        <v>48000</v>
      </c>
      <c r="F12" s="110">
        <f t="shared" si="1"/>
        <v>13000</v>
      </c>
      <c r="G12" s="14">
        <f t="shared" si="0"/>
        <v>137.14285714285714</v>
      </c>
    </row>
    <row r="13" spans="2:7" s="136" customFormat="1" ht="14.25" x14ac:dyDescent="0.25">
      <c r="B13" s="136">
        <v>715</v>
      </c>
      <c r="C13" s="135" t="s">
        <v>159</v>
      </c>
      <c r="D13" s="112">
        <f>D14+D15</f>
        <v>0</v>
      </c>
      <c r="E13" s="112">
        <f>E14+E15</f>
        <v>0</v>
      </c>
      <c r="F13" s="111">
        <f>E13-D13</f>
        <v>0</v>
      </c>
      <c r="G13" s="112"/>
    </row>
    <row r="14" spans="2:7" s="17" customFormat="1" ht="14.25" x14ac:dyDescent="0.25">
      <c r="B14" s="1"/>
      <c r="C14" s="13" t="s">
        <v>160</v>
      </c>
      <c r="D14" s="14">
        <v>0</v>
      </c>
      <c r="E14" s="14">
        <v>0</v>
      </c>
      <c r="F14" s="110">
        <f>E14-D14</f>
        <v>0</v>
      </c>
      <c r="G14" s="14"/>
    </row>
    <row r="15" spans="2:7" s="17" customFormat="1" ht="14.25" x14ac:dyDescent="0.25">
      <c r="B15" s="1"/>
      <c r="C15" s="13" t="s">
        <v>161</v>
      </c>
      <c r="D15" s="14">
        <v>0</v>
      </c>
      <c r="E15" s="14">
        <v>0</v>
      </c>
      <c r="F15" s="110">
        <f>E15-D15</f>
        <v>0</v>
      </c>
      <c r="G15" s="14"/>
    </row>
    <row r="16" spans="2:7" ht="14.25" x14ac:dyDescent="0.25">
      <c r="B16" s="1">
        <v>717</v>
      </c>
      <c r="C16" s="46" t="s">
        <v>52</v>
      </c>
      <c r="D16" s="16">
        <f>D17</f>
        <v>2023628</v>
      </c>
      <c r="E16" s="16">
        <f>E17</f>
        <v>2023628</v>
      </c>
      <c r="F16" s="111">
        <f t="shared" si="1"/>
        <v>0</v>
      </c>
      <c r="G16" s="14">
        <f t="shared" si="0"/>
        <v>100</v>
      </c>
    </row>
    <row r="17" spans="2:10" s="17" customFormat="1" ht="25.5" x14ac:dyDescent="0.25">
      <c r="B17" s="1"/>
      <c r="C17" s="13" t="s">
        <v>53</v>
      </c>
      <c r="D17" s="14">
        <v>2023628</v>
      </c>
      <c r="E17" s="14">
        <v>2023628</v>
      </c>
      <c r="F17" s="110">
        <f t="shared" si="1"/>
        <v>0</v>
      </c>
      <c r="G17" s="14">
        <f t="shared" si="0"/>
        <v>100</v>
      </c>
    </row>
    <row r="18" spans="2:10" ht="14.25" x14ac:dyDescent="0.25">
      <c r="B18" s="1">
        <v>719</v>
      </c>
      <c r="C18" s="46" t="s">
        <v>54</v>
      </c>
      <c r="D18" s="16">
        <v>500</v>
      </c>
      <c r="E18" s="16">
        <v>300</v>
      </c>
      <c r="F18" s="111">
        <f t="shared" si="1"/>
        <v>-200</v>
      </c>
      <c r="G18" s="14">
        <f t="shared" si="0"/>
        <v>60</v>
      </c>
      <c r="J18" s="4"/>
    </row>
    <row r="19" spans="2:10" s="17" customFormat="1" ht="14.25" x14ac:dyDescent="0.25">
      <c r="C19" s="13"/>
      <c r="D19" s="14"/>
      <c r="E19" s="14"/>
      <c r="F19" s="104"/>
      <c r="G19" s="14"/>
    </row>
    <row r="20" spans="2:10" s="17" customFormat="1" ht="14.25" x14ac:dyDescent="0.25">
      <c r="B20" s="357" t="s">
        <v>55</v>
      </c>
      <c r="C20" s="357"/>
      <c r="D20" s="7">
        <f>D22+D24+D46</f>
        <v>6899700</v>
      </c>
      <c r="E20" s="7">
        <f>E22+E24+E46+E48</f>
        <v>7193862</v>
      </c>
      <c r="F20" s="7">
        <f>E20-D20</f>
        <v>294162</v>
      </c>
      <c r="G20" s="98">
        <f>E20/D20*100</f>
        <v>104.26340275664158</v>
      </c>
    </row>
    <row r="21" spans="2:10" s="17" customFormat="1" ht="14.25" x14ac:dyDescent="0.25">
      <c r="C21" s="13"/>
      <c r="D21" s="14"/>
      <c r="E21" s="14"/>
      <c r="F21" s="104"/>
      <c r="G21" s="14"/>
    </row>
    <row r="22" spans="2:10" s="8" customFormat="1" ht="14.25" x14ac:dyDescent="0.25">
      <c r="B22" s="8">
        <v>721</v>
      </c>
      <c r="C22" s="23" t="s">
        <v>56</v>
      </c>
      <c r="D22" s="24">
        <f>D23</f>
        <v>7000</v>
      </c>
      <c r="E22" s="24">
        <f>E23</f>
        <v>14000</v>
      </c>
      <c r="F22" s="111">
        <f>E22-D22</f>
        <v>7000</v>
      </c>
      <c r="G22" s="14">
        <f>E22/D22*100</f>
        <v>200</v>
      </c>
    </row>
    <row r="23" spans="2:10" s="17" customFormat="1" ht="14.25" x14ac:dyDescent="0.25">
      <c r="C23" s="13" t="s">
        <v>57</v>
      </c>
      <c r="D23" s="14">
        <v>7000</v>
      </c>
      <c r="E23" s="14">
        <v>14000</v>
      </c>
      <c r="F23" s="110">
        <f t="shared" ref="F23:F48" si="2">E23-D23</f>
        <v>7000</v>
      </c>
      <c r="G23" s="14">
        <f t="shared" ref="G23:G48" si="3">E23/D23*100</f>
        <v>200</v>
      </c>
    </row>
    <row r="24" spans="2:10" s="8" customFormat="1" ht="14.25" x14ac:dyDescent="0.25">
      <c r="B24" s="8">
        <v>722</v>
      </c>
      <c r="C24" s="23" t="s">
        <v>58</v>
      </c>
      <c r="D24" s="24">
        <f>D25+D26+D32+D44</f>
        <v>6892500</v>
      </c>
      <c r="E24" s="24">
        <f>E25+E26+E32+E44</f>
        <v>7158262</v>
      </c>
      <c r="F24" s="111">
        <f t="shared" si="2"/>
        <v>265762</v>
      </c>
      <c r="G24" s="14">
        <f t="shared" si="3"/>
        <v>103.85581429089589</v>
      </c>
    </row>
    <row r="25" spans="2:10" s="21" customFormat="1" ht="14.25" x14ac:dyDescent="0.25">
      <c r="B25" s="21">
        <v>7221</v>
      </c>
      <c r="C25" s="15" t="s">
        <v>59</v>
      </c>
      <c r="D25" s="22">
        <v>35000</v>
      </c>
      <c r="E25" s="22">
        <v>15000</v>
      </c>
      <c r="F25" s="110">
        <f t="shared" si="2"/>
        <v>-20000</v>
      </c>
      <c r="G25" s="14">
        <f t="shared" si="3"/>
        <v>42.857142857142854</v>
      </c>
    </row>
    <row r="26" spans="2:10" s="21" customFormat="1" ht="14.25" x14ac:dyDescent="0.25">
      <c r="B26" s="21">
        <v>7223</v>
      </c>
      <c r="C26" s="15" t="s">
        <v>60</v>
      </c>
      <c r="D26" s="22">
        <v>25000</v>
      </c>
      <c r="E26" s="22">
        <v>25000</v>
      </c>
      <c r="F26" s="110">
        <f t="shared" si="2"/>
        <v>0</v>
      </c>
      <c r="G26" s="14">
        <f t="shared" si="3"/>
        <v>100</v>
      </c>
    </row>
    <row r="27" spans="2:10" s="17" customFormat="1" ht="14.25" x14ac:dyDescent="0.25">
      <c r="C27" s="13" t="s">
        <v>61</v>
      </c>
      <c r="D27" s="14"/>
      <c r="E27" s="14"/>
      <c r="F27" s="110"/>
      <c r="G27" s="14"/>
    </row>
    <row r="28" spans="2:10" s="17" customFormat="1" ht="14.25" x14ac:dyDescent="0.25">
      <c r="C28" s="13" t="s">
        <v>62</v>
      </c>
      <c r="D28" s="14"/>
      <c r="E28" s="14"/>
      <c r="F28" s="110"/>
      <c r="G28" s="14"/>
    </row>
    <row r="29" spans="2:10" s="17" customFormat="1" ht="14.25" x14ac:dyDescent="0.25">
      <c r="C29" s="13" t="s">
        <v>63</v>
      </c>
      <c r="D29" s="14"/>
      <c r="E29" s="14"/>
      <c r="F29" s="110"/>
      <c r="G29" s="14"/>
    </row>
    <row r="30" spans="2:10" s="17" customFormat="1" ht="14.25" x14ac:dyDescent="0.25">
      <c r="C30" s="13" t="s">
        <v>64</v>
      </c>
      <c r="D30" s="14"/>
      <c r="E30" s="14"/>
      <c r="F30" s="110"/>
      <c r="G30" s="14"/>
    </row>
    <row r="31" spans="2:10" s="17" customFormat="1" ht="14.25" x14ac:dyDescent="0.25">
      <c r="C31" s="13" t="s">
        <v>65</v>
      </c>
      <c r="D31" s="14"/>
      <c r="E31" s="14"/>
      <c r="F31" s="110"/>
      <c r="G31" s="14"/>
    </row>
    <row r="32" spans="2:10" s="21" customFormat="1" ht="14.25" x14ac:dyDescent="0.25">
      <c r="B32" s="21">
        <v>7224</v>
      </c>
      <c r="C32" s="15" t="s">
        <v>66</v>
      </c>
      <c r="D32" s="22">
        <f>D33+D34+D35+D36+D37+D38+D39+D40+D41+D42+D43</f>
        <v>6832000</v>
      </c>
      <c r="E32" s="22">
        <f>SUM(E33:E43)</f>
        <v>7116762</v>
      </c>
      <c r="F32" s="111">
        <f t="shared" si="2"/>
        <v>284762</v>
      </c>
      <c r="G32" s="14">
        <f t="shared" si="3"/>
        <v>104.16806206088994</v>
      </c>
    </row>
    <row r="33" spans="2:7" s="17" customFormat="1" ht="14.25" x14ac:dyDescent="0.25">
      <c r="C33" s="13" t="s">
        <v>67</v>
      </c>
      <c r="D33" s="14">
        <v>0</v>
      </c>
      <c r="E33" s="14">
        <v>0</v>
      </c>
      <c r="F33" s="110">
        <f t="shared" si="2"/>
        <v>0</v>
      </c>
      <c r="G33" s="14"/>
    </row>
    <row r="34" spans="2:7" s="17" customFormat="1" ht="14.25" x14ac:dyDescent="0.25">
      <c r="C34" s="13" t="s">
        <v>68</v>
      </c>
      <c r="D34" s="14">
        <v>0</v>
      </c>
      <c r="E34" s="14">
        <v>0</v>
      </c>
      <c r="F34" s="110">
        <f t="shared" si="2"/>
        <v>0</v>
      </c>
      <c r="G34" s="14"/>
    </row>
    <row r="35" spans="2:7" s="17" customFormat="1" ht="25.5" x14ac:dyDescent="0.25">
      <c r="C35" s="13" t="s">
        <v>69</v>
      </c>
      <c r="D35" s="14">
        <v>4000</v>
      </c>
      <c r="E35" s="14">
        <v>2000</v>
      </c>
      <c r="F35" s="110">
        <f t="shared" si="2"/>
        <v>-2000</v>
      </c>
      <c r="G35" s="14">
        <f t="shared" si="3"/>
        <v>50</v>
      </c>
    </row>
    <row r="36" spans="2:7" s="17" customFormat="1" ht="14.25" x14ac:dyDescent="0.25">
      <c r="C36" s="13" t="s">
        <v>70</v>
      </c>
      <c r="D36" s="14">
        <v>5000</v>
      </c>
      <c r="E36" s="14">
        <v>500</v>
      </c>
      <c r="F36" s="110">
        <f t="shared" si="2"/>
        <v>-4500</v>
      </c>
      <c r="G36" s="14">
        <f t="shared" si="3"/>
        <v>10</v>
      </c>
    </row>
    <row r="37" spans="2:7" s="17" customFormat="1" ht="14.25" x14ac:dyDescent="0.25">
      <c r="C37" s="13" t="s">
        <v>71</v>
      </c>
      <c r="D37" s="14">
        <v>11000</v>
      </c>
      <c r="E37" s="14">
        <v>30000</v>
      </c>
      <c r="F37" s="110">
        <f t="shared" si="2"/>
        <v>19000</v>
      </c>
      <c r="G37" s="14">
        <f t="shared" si="3"/>
        <v>272.72727272727269</v>
      </c>
    </row>
    <row r="38" spans="2:7" s="17" customFormat="1" ht="14.25" x14ac:dyDescent="0.25">
      <c r="C38" s="13" t="s">
        <v>72</v>
      </c>
      <c r="D38" s="14">
        <v>25000</v>
      </c>
      <c r="E38" s="14">
        <v>25000</v>
      </c>
      <c r="F38" s="110">
        <f t="shared" si="2"/>
        <v>0</v>
      </c>
      <c r="G38" s="14">
        <f t="shared" si="3"/>
        <v>100</v>
      </c>
    </row>
    <row r="39" spans="2:7" s="17" customFormat="1" ht="14.25" x14ac:dyDescent="0.25">
      <c r="C39" s="13" t="s">
        <v>73</v>
      </c>
      <c r="D39" s="14">
        <v>500</v>
      </c>
      <c r="E39" s="14">
        <v>500</v>
      </c>
      <c r="F39" s="110">
        <f t="shared" si="2"/>
        <v>0</v>
      </c>
      <c r="G39" s="14">
        <f t="shared" si="3"/>
        <v>100</v>
      </c>
    </row>
    <row r="40" spans="2:7" s="17" customFormat="1" ht="14.25" x14ac:dyDescent="0.25">
      <c r="C40" s="13" t="s">
        <v>74</v>
      </c>
      <c r="D40" s="14">
        <v>25000</v>
      </c>
      <c r="E40" s="14">
        <v>55000</v>
      </c>
      <c r="F40" s="110">
        <f t="shared" si="2"/>
        <v>30000</v>
      </c>
      <c r="G40" s="14">
        <f t="shared" si="3"/>
        <v>220.00000000000003</v>
      </c>
    </row>
    <row r="41" spans="2:7" s="17" customFormat="1" ht="25.5" x14ac:dyDescent="0.25">
      <c r="C41" s="13" t="s">
        <v>75</v>
      </c>
      <c r="D41" s="14">
        <v>6600000</v>
      </c>
      <c r="E41" s="14">
        <f>6487762+25000+1000</f>
        <v>6513762</v>
      </c>
      <c r="F41" s="110">
        <f t="shared" si="2"/>
        <v>-86238</v>
      </c>
      <c r="G41" s="14">
        <f t="shared" si="3"/>
        <v>98.693363636363642</v>
      </c>
    </row>
    <row r="42" spans="2:7" s="17" customFormat="1" ht="14.25" x14ac:dyDescent="0.25">
      <c r="C42" s="13" t="s">
        <v>76</v>
      </c>
      <c r="D42" s="14">
        <v>500</v>
      </c>
      <c r="E42" s="14">
        <v>0</v>
      </c>
      <c r="F42" s="110">
        <f t="shared" si="2"/>
        <v>-500</v>
      </c>
      <c r="G42" s="14">
        <f t="shared" si="3"/>
        <v>0</v>
      </c>
    </row>
    <row r="43" spans="2:7" s="17" customFormat="1" ht="14.25" x14ac:dyDescent="0.25">
      <c r="C43" s="13" t="s">
        <v>77</v>
      </c>
      <c r="D43" s="14">
        <v>161000</v>
      </c>
      <c r="E43" s="14">
        <v>490000</v>
      </c>
      <c r="F43" s="110">
        <f t="shared" si="2"/>
        <v>329000</v>
      </c>
      <c r="G43" s="14">
        <f t="shared" si="3"/>
        <v>304.34782608695656</v>
      </c>
    </row>
    <row r="44" spans="2:7" s="21" customFormat="1" ht="14.25" x14ac:dyDescent="0.25">
      <c r="B44" s="315">
        <v>7225</v>
      </c>
      <c r="C44" s="48" t="s">
        <v>78</v>
      </c>
      <c r="D44" s="16">
        <f>D45</f>
        <v>500</v>
      </c>
      <c r="E44" s="16">
        <f>E45</f>
        <v>1500</v>
      </c>
      <c r="F44" s="111">
        <f t="shared" si="2"/>
        <v>1000</v>
      </c>
      <c r="G44" s="14">
        <f t="shared" si="3"/>
        <v>300</v>
      </c>
    </row>
    <row r="45" spans="2:7" s="17" customFormat="1" ht="14.25" x14ac:dyDescent="0.25">
      <c r="B45" s="316"/>
      <c r="C45" s="13" t="s">
        <v>79</v>
      </c>
      <c r="D45" s="14">
        <v>500</v>
      </c>
      <c r="E45" s="14">
        <v>1500</v>
      </c>
      <c r="F45" s="110">
        <f t="shared" si="2"/>
        <v>1000</v>
      </c>
      <c r="G45" s="14">
        <f t="shared" si="3"/>
        <v>300</v>
      </c>
    </row>
    <row r="46" spans="2:7" s="8" customFormat="1" ht="14.25" x14ac:dyDescent="0.25">
      <c r="B46" s="317">
        <v>723</v>
      </c>
      <c r="C46" s="23" t="s">
        <v>80</v>
      </c>
      <c r="D46" s="24">
        <f>D47</f>
        <v>200</v>
      </c>
      <c r="E46" s="24">
        <f>E47</f>
        <v>100</v>
      </c>
      <c r="F46" s="111">
        <f t="shared" si="2"/>
        <v>-100</v>
      </c>
      <c r="G46" s="14">
        <f t="shared" si="3"/>
        <v>50</v>
      </c>
    </row>
    <row r="47" spans="2:7" s="17" customFormat="1" ht="14.25" x14ac:dyDescent="0.25">
      <c r="B47" s="316"/>
      <c r="C47" s="13" t="s">
        <v>81</v>
      </c>
      <c r="D47" s="14">
        <v>200</v>
      </c>
      <c r="E47" s="14">
        <v>100</v>
      </c>
      <c r="F47" s="110">
        <f t="shared" si="2"/>
        <v>-100</v>
      </c>
      <c r="G47" s="14">
        <f t="shared" si="3"/>
        <v>50</v>
      </c>
    </row>
    <row r="48" spans="2:7" s="137" customFormat="1" ht="14.25" x14ac:dyDescent="0.25">
      <c r="B48" s="317">
        <v>729</v>
      </c>
      <c r="C48" s="138" t="s">
        <v>162</v>
      </c>
      <c r="D48" s="139">
        <v>0</v>
      </c>
      <c r="E48" s="139">
        <v>21500</v>
      </c>
      <c r="F48" s="111">
        <f t="shared" si="2"/>
        <v>21500</v>
      </c>
      <c r="G48" s="139" t="e">
        <f t="shared" si="3"/>
        <v>#DIV/0!</v>
      </c>
    </row>
    <row r="49" spans="2:7" s="17" customFormat="1" ht="14.25" x14ac:dyDescent="0.25">
      <c r="C49" s="13"/>
      <c r="D49" s="14"/>
      <c r="E49" s="14"/>
      <c r="F49" s="110"/>
      <c r="G49" s="14"/>
    </row>
    <row r="50" spans="2:7" s="17" customFormat="1" ht="14.25" x14ac:dyDescent="0.25">
      <c r="C50" s="13"/>
      <c r="D50" s="14"/>
      <c r="E50" s="14"/>
      <c r="F50" s="104"/>
      <c r="G50" s="14"/>
    </row>
    <row r="51" spans="2:7" s="17" customFormat="1" ht="14.25" x14ac:dyDescent="0.25">
      <c r="B51" s="357" t="s">
        <v>82</v>
      </c>
      <c r="C51" s="357"/>
      <c r="D51" s="7">
        <f>D53+D57</f>
        <v>340000</v>
      </c>
      <c r="E51" s="7">
        <f>E53+E57</f>
        <v>360000</v>
      </c>
      <c r="F51" s="7">
        <f>E51-D51</f>
        <v>20000</v>
      </c>
      <c r="G51" s="98">
        <f>E51/D51*100</f>
        <v>105.88235294117648</v>
      </c>
    </row>
    <row r="52" spans="2:7" s="17" customFormat="1" ht="14.25" x14ac:dyDescent="0.25">
      <c r="C52" s="13"/>
      <c r="D52" s="14"/>
      <c r="E52" s="14"/>
      <c r="F52" s="104"/>
      <c r="G52" s="113"/>
    </row>
    <row r="53" spans="2:7" s="17" customFormat="1" ht="15" customHeight="1" x14ac:dyDescent="0.25">
      <c r="B53" s="361" t="s">
        <v>83</v>
      </c>
      <c r="C53" s="361"/>
      <c r="D53" s="50">
        <f>D55</f>
        <v>200000</v>
      </c>
      <c r="E53" s="50">
        <f>E55</f>
        <v>200000</v>
      </c>
      <c r="F53" s="106">
        <f>E53-D53</f>
        <v>0</v>
      </c>
      <c r="G53" s="95">
        <f t="shared" ref="G53:G72" si="4">E53/D53*100</f>
        <v>100</v>
      </c>
    </row>
    <row r="54" spans="2:7" s="17" customFormat="1" ht="14.25" x14ac:dyDescent="0.25">
      <c r="C54" s="13"/>
      <c r="D54" s="14"/>
      <c r="E54" s="14"/>
      <c r="F54" s="104"/>
      <c r="G54" s="113"/>
    </row>
    <row r="55" spans="2:7" ht="14.25" x14ac:dyDescent="0.25">
      <c r="B55" s="1">
        <v>731</v>
      </c>
      <c r="C55" s="46" t="s">
        <v>90</v>
      </c>
      <c r="D55" s="14">
        <v>200000</v>
      </c>
      <c r="E55" s="14">
        <v>200000</v>
      </c>
      <c r="F55" s="104">
        <f>E55-D55</f>
        <v>0</v>
      </c>
      <c r="G55" s="113">
        <f t="shared" si="4"/>
        <v>100</v>
      </c>
    </row>
    <row r="56" spans="2:7" s="17" customFormat="1" ht="14.25" x14ac:dyDescent="0.25">
      <c r="C56" s="13"/>
      <c r="D56" s="14"/>
      <c r="E56" s="14"/>
      <c r="F56" s="104"/>
      <c r="G56" s="113"/>
    </row>
    <row r="57" spans="2:7" s="17" customFormat="1" ht="14.25" x14ac:dyDescent="0.25">
      <c r="B57" s="361" t="s">
        <v>84</v>
      </c>
      <c r="C57" s="361"/>
      <c r="D57" s="50">
        <f>D59</f>
        <v>140000</v>
      </c>
      <c r="E57" s="50">
        <f>E59</f>
        <v>160000</v>
      </c>
      <c r="F57" s="106">
        <f>E57-D57</f>
        <v>20000</v>
      </c>
      <c r="G57" s="95">
        <f t="shared" si="4"/>
        <v>114.28571428571428</v>
      </c>
    </row>
    <row r="58" spans="2:7" s="17" customFormat="1" ht="14.25" x14ac:dyDescent="0.25">
      <c r="C58" s="13"/>
      <c r="D58" s="14"/>
      <c r="E58" s="14"/>
      <c r="F58" s="104"/>
      <c r="G58" s="113"/>
    </row>
    <row r="59" spans="2:7" s="17" customFormat="1" ht="25.5" x14ac:dyDescent="0.25">
      <c r="B59" s="1">
        <v>781</v>
      </c>
      <c r="C59" s="46" t="s">
        <v>85</v>
      </c>
      <c r="D59" s="14">
        <v>140000</v>
      </c>
      <c r="E59" s="14">
        <v>160000</v>
      </c>
      <c r="F59" s="104">
        <f>E59-D59</f>
        <v>20000</v>
      </c>
      <c r="G59" s="113">
        <f t="shared" si="4"/>
        <v>114.28571428571428</v>
      </c>
    </row>
    <row r="60" spans="2:7" s="17" customFormat="1" ht="14.25" x14ac:dyDescent="0.25">
      <c r="C60" s="13"/>
      <c r="D60" s="14"/>
      <c r="E60" s="14"/>
      <c r="F60" s="104"/>
      <c r="G60" s="113"/>
    </row>
    <row r="61" spans="2:7" s="17" customFormat="1" ht="15.75" x14ac:dyDescent="0.25">
      <c r="B61" s="357" t="s">
        <v>86</v>
      </c>
      <c r="C61" s="357"/>
      <c r="D61" s="51">
        <f>D63</f>
        <v>0</v>
      </c>
      <c r="E61" s="51">
        <f>E63</f>
        <v>0</v>
      </c>
      <c r="F61" s="7">
        <v>0</v>
      </c>
      <c r="G61" s="98">
        <v>0</v>
      </c>
    </row>
    <row r="62" spans="2:7" s="43" customFormat="1" ht="14.25" x14ac:dyDescent="0.25">
      <c r="B62" s="52"/>
      <c r="C62" s="52"/>
      <c r="D62" s="20"/>
      <c r="E62" s="20"/>
      <c r="F62" s="104"/>
      <c r="G62" s="113"/>
    </row>
    <row r="63" spans="2:7" s="43" customFormat="1" ht="14.25" x14ac:dyDescent="0.25">
      <c r="B63" s="53">
        <v>811</v>
      </c>
      <c r="C63" s="52" t="s">
        <v>87</v>
      </c>
      <c r="D63" s="20">
        <f>D64</f>
        <v>0</v>
      </c>
      <c r="E63" s="20">
        <v>0</v>
      </c>
      <c r="F63" s="104">
        <v>0</v>
      </c>
      <c r="G63" s="113">
        <v>0</v>
      </c>
    </row>
    <row r="64" spans="2:7" s="43" customFormat="1" ht="14.25" x14ac:dyDescent="0.25">
      <c r="B64" s="52"/>
      <c r="C64" s="55" t="s">
        <v>88</v>
      </c>
      <c r="D64" s="54">
        <v>0</v>
      </c>
      <c r="E64" s="54">
        <v>0</v>
      </c>
      <c r="F64" s="104">
        <v>0</v>
      </c>
      <c r="G64" s="113">
        <v>0</v>
      </c>
    </row>
    <row r="65" spans="2:7" s="43" customFormat="1" ht="14.25" x14ac:dyDescent="0.25">
      <c r="B65" s="52"/>
      <c r="C65" s="52"/>
      <c r="D65" s="20"/>
      <c r="E65" s="20"/>
      <c r="F65" s="104"/>
      <c r="G65" s="113"/>
    </row>
    <row r="66" spans="2:7" s="43" customFormat="1" ht="14.25" x14ac:dyDescent="0.25">
      <c r="B66" s="357" t="s">
        <v>117</v>
      </c>
      <c r="C66" s="357"/>
      <c r="D66" s="27">
        <v>0</v>
      </c>
      <c r="E66" s="27">
        <f>E68</f>
        <v>3750000</v>
      </c>
      <c r="F66" s="7">
        <v>0</v>
      </c>
      <c r="G66" s="98">
        <v>0</v>
      </c>
    </row>
    <row r="67" spans="2:7" s="43" customFormat="1" ht="14.25" x14ac:dyDescent="0.25">
      <c r="B67" s="52"/>
      <c r="C67" s="52"/>
      <c r="D67" s="20"/>
      <c r="E67" s="20"/>
      <c r="F67" s="104"/>
      <c r="G67" s="113"/>
    </row>
    <row r="68" spans="2:7" s="43" customFormat="1" ht="14.25" x14ac:dyDescent="0.25">
      <c r="B68" s="53">
        <v>921</v>
      </c>
      <c r="C68" s="52" t="s">
        <v>347</v>
      </c>
      <c r="D68" s="20">
        <v>0</v>
      </c>
      <c r="E68" s="20">
        <v>3750000</v>
      </c>
      <c r="F68" s="104">
        <v>0</v>
      </c>
      <c r="G68" s="113">
        <v>0</v>
      </c>
    </row>
    <row r="69" spans="2:7" s="43" customFormat="1" ht="14.25" x14ac:dyDescent="0.25">
      <c r="B69" s="52"/>
      <c r="C69" s="52"/>
      <c r="D69" s="20"/>
      <c r="E69" s="20"/>
      <c r="F69" s="104"/>
      <c r="G69" s="113"/>
    </row>
    <row r="70" spans="2:7" s="43" customFormat="1" ht="14.25" x14ac:dyDescent="0.25">
      <c r="B70" s="144" t="s">
        <v>33</v>
      </c>
      <c r="C70" s="140" t="s">
        <v>163</v>
      </c>
      <c r="D70" s="141">
        <v>0</v>
      </c>
      <c r="E70" s="141">
        <v>0</v>
      </c>
      <c r="F70" s="142">
        <v>0</v>
      </c>
      <c r="G70" s="143">
        <v>0</v>
      </c>
    </row>
    <row r="71" spans="2:7" s="17" customFormat="1" ht="14.25" x14ac:dyDescent="0.25">
      <c r="C71" s="13"/>
      <c r="D71" s="14"/>
      <c r="E71" s="14"/>
      <c r="F71" s="104"/>
      <c r="G71" s="113"/>
    </row>
    <row r="72" spans="2:7" s="45" customFormat="1" ht="15.75" x14ac:dyDescent="0.25">
      <c r="B72" s="358" t="s">
        <v>89</v>
      </c>
      <c r="C72" s="358"/>
      <c r="D72" s="32">
        <f>D61+D51+D20+D6</f>
        <v>9510828</v>
      </c>
      <c r="E72" s="32">
        <f>E51+E20+E6+E70+E68</f>
        <v>13721790</v>
      </c>
      <c r="F72" s="105">
        <f>E72-D72</f>
        <v>4210962</v>
      </c>
      <c r="G72" s="91">
        <f t="shared" si="4"/>
        <v>144.2754510963714</v>
      </c>
    </row>
    <row r="73" spans="2:7" s="17" customFormat="1" x14ac:dyDescent="0.25">
      <c r="C73" s="13"/>
      <c r="D73" s="14"/>
      <c r="E73" s="14"/>
      <c r="F73" s="14"/>
      <c r="G73" s="14"/>
    </row>
    <row r="74" spans="2:7" s="17" customFormat="1" x14ac:dyDescent="0.25">
      <c r="C74" s="13"/>
      <c r="D74" s="14"/>
      <c r="E74" s="14"/>
      <c r="F74" s="14"/>
      <c r="G74" s="14"/>
    </row>
    <row r="75" spans="2:7" s="17" customFormat="1" x14ac:dyDescent="0.25">
      <c r="C75" s="13"/>
      <c r="D75" s="14"/>
      <c r="E75" s="14"/>
      <c r="F75" s="14"/>
      <c r="G75" s="14"/>
    </row>
    <row r="76" spans="2:7" s="17" customFormat="1" x14ac:dyDescent="0.25">
      <c r="C76" s="13"/>
      <c r="D76" s="14"/>
      <c r="E76" s="14"/>
      <c r="F76" s="14"/>
      <c r="G76" s="14"/>
    </row>
    <row r="77" spans="2:7" s="17" customFormat="1" x14ac:dyDescent="0.25">
      <c r="C77" s="13"/>
      <c r="D77" s="14"/>
      <c r="E77" s="14"/>
      <c r="F77" s="14"/>
      <c r="G77" s="14"/>
    </row>
    <row r="78" spans="2:7" s="17" customFormat="1" x14ac:dyDescent="0.25">
      <c r="C78" s="13"/>
      <c r="D78" s="14"/>
      <c r="E78" s="14"/>
      <c r="F78" s="14"/>
      <c r="G78" s="14"/>
    </row>
    <row r="79" spans="2:7" s="17" customFormat="1" x14ac:dyDescent="0.25">
      <c r="C79" s="13"/>
      <c r="D79" s="14"/>
      <c r="E79" s="14"/>
      <c r="F79" s="14"/>
      <c r="G79" s="14"/>
    </row>
    <row r="80" spans="2:7" s="17" customFormat="1" x14ac:dyDescent="0.25">
      <c r="C80" s="13"/>
      <c r="D80" s="14"/>
      <c r="E80" s="14"/>
      <c r="F80" s="14"/>
      <c r="G80" s="14"/>
    </row>
    <row r="81" spans="3:7" s="17" customFormat="1" x14ac:dyDescent="0.25">
      <c r="C81" s="13"/>
      <c r="D81" s="14"/>
      <c r="E81" s="14"/>
      <c r="F81" s="14"/>
      <c r="G81" s="14"/>
    </row>
    <row r="82" spans="3:7" s="17" customFormat="1" x14ac:dyDescent="0.25">
      <c r="C82" s="13"/>
      <c r="D82" s="14"/>
      <c r="E82" s="14"/>
      <c r="F82" s="14"/>
      <c r="G82" s="14"/>
    </row>
    <row r="83" spans="3:7" s="17" customFormat="1" x14ac:dyDescent="0.25">
      <c r="C83" s="13"/>
      <c r="D83" s="14"/>
      <c r="E83" s="14"/>
      <c r="F83" s="14"/>
      <c r="G83" s="14"/>
    </row>
    <row r="84" spans="3:7" s="17" customFormat="1" x14ac:dyDescent="0.25">
      <c r="C84" s="13"/>
      <c r="D84" s="14"/>
      <c r="E84" s="14"/>
      <c r="F84" s="14"/>
      <c r="G84" s="14"/>
    </row>
  </sheetData>
  <mergeCells count="9">
    <mergeCell ref="B61:C61"/>
    <mergeCell ref="B72:C72"/>
    <mergeCell ref="B2:G2"/>
    <mergeCell ref="B6:C6"/>
    <mergeCell ref="B20:C20"/>
    <mergeCell ref="B51:C51"/>
    <mergeCell ref="B53:C53"/>
    <mergeCell ref="B57:C57"/>
    <mergeCell ref="B66:C66"/>
  </mergeCells>
  <pageMargins left="0.23622047244094499" right="0.23622047244094499" top="0.74803149606299202" bottom="0.74803149606299202" header="0.31496062992126" footer="0.31496062992126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71"/>
  <sheetViews>
    <sheetView topLeftCell="A28" workbookViewId="0">
      <selection activeCell="E38" sqref="E38"/>
    </sheetView>
  </sheetViews>
  <sheetFormatPr defaultRowHeight="12.75" x14ac:dyDescent="0.25"/>
  <cols>
    <col min="1" max="1" width="9.140625" style="1"/>
    <col min="2" max="2" width="15" style="1" customWidth="1"/>
    <col min="3" max="3" width="50.5703125" style="46" customWidth="1"/>
    <col min="4" max="7" width="17.7109375" style="16" customWidth="1"/>
    <col min="8" max="16384" width="9.140625" style="1"/>
  </cols>
  <sheetData>
    <row r="2" spans="2:7" ht="43.5" customHeight="1" x14ac:dyDescent="0.25">
      <c r="B2" s="359" t="s">
        <v>348</v>
      </c>
      <c r="C2" s="360"/>
      <c r="D2" s="360"/>
      <c r="E2" s="360"/>
      <c r="F2" s="360"/>
      <c r="G2" s="360"/>
    </row>
    <row r="4" spans="2:7" ht="38.25" x14ac:dyDescent="0.25">
      <c r="B4" s="2" t="s">
        <v>0</v>
      </c>
      <c r="C4" s="2" t="s">
        <v>1</v>
      </c>
      <c r="D4" s="3" t="s">
        <v>379</v>
      </c>
      <c r="E4" s="3" t="s">
        <v>380</v>
      </c>
      <c r="F4" s="3" t="s">
        <v>141</v>
      </c>
      <c r="G4" s="3" t="s">
        <v>158</v>
      </c>
    </row>
    <row r="5" spans="2:7" x14ac:dyDescent="0.25">
      <c r="B5" s="1">
        <v>1</v>
      </c>
      <c r="C5" s="1">
        <v>2</v>
      </c>
      <c r="D5" s="4">
        <v>3</v>
      </c>
      <c r="E5" s="4">
        <v>4</v>
      </c>
      <c r="F5" s="4">
        <v>5</v>
      </c>
      <c r="G5" s="4">
        <v>6</v>
      </c>
    </row>
    <row r="7" spans="2:7" x14ac:dyDescent="0.25">
      <c r="B7" s="56"/>
      <c r="C7" s="57" t="s">
        <v>91</v>
      </c>
      <c r="D7" s="58">
        <f>D9+D17+D24</f>
        <v>9510828</v>
      </c>
      <c r="E7" s="58">
        <f>E9+E17+E24</f>
        <v>9971790</v>
      </c>
      <c r="F7" s="58">
        <f>E7-D7</f>
        <v>460962</v>
      </c>
      <c r="G7" s="58">
        <f>E7/D7*100</f>
        <v>104.84670735292447</v>
      </c>
    </row>
    <row r="8" spans="2:7" x14ac:dyDescent="0.25">
      <c r="G8" s="14"/>
    </row>
    <row r="9" spans="2:7" x14ac:dyDescent="0.25">
      <c r="B9" s="357" t="s">
        <v>46</v>
      </c>
      <c r="C9" s="357"/>
      <c r="D9" s="27">
        <f>D11+D12+D14+D15</f>
        <v>2271128</v>
      </c>
      <c r="E9" s="27">
        <f>E11+E12+E13+E14+E15</f>
        <v>2417928</v>
      </c>
      <c r="F9" s="27">
        <f>E9-D9</f>
        <v>146800</v>
      </c>
      <c r="G9" s="98">
        <f>E9/D9*100</f>
        <v>106.4637484104815</v>
      </c>
    </row>
    <row r="10" spans="2:7" x14ac:dyDescent="0.25">
      <c r="G10" s="14"/>
    </row>
    <row r="11" spans="2:7" s="17" customFormat="1" ht="26.25" customHeight="1" x14ac:dyDescent="0.25">
      <c r="B11" s="17">
        <v>713</v>
      </c>
      <c r="C11" s="13" t="s">
        <v>47</v>
      </c>
      <c r="D11" s="14">
        <v>212000</v>
      </c>
      <c r="E11" s="14">
        <v>346000</v>
      </c>
      <c r="F11" s="14">
        <f>E11-D11</f>
        <v>134000</v>
      </c>
      <c r="G11" s="14">
        <f>E11/D11*100</f>
        <v>163.20754716981131</v>
      </c>
    </row>
    <row r="12" spans="2:7" s="13" customFormat="1" x14ac:dyDescent="0.25">
      <c r="B12" s="17">
        <v>714</v>
      </c>
      <c r="C12" s="13" t="s">
        <v>50</v>
      </c>
      <c r="D12" s="14">
        <v>35000</v>
      </c>
      <c r="E12" s="14">
        <v>48000</v>
      </c>
      <c r="F12" s="14">
        <f t="shared" ref="F12:F15" si="0">E12-D12</f>
        <v>13000</v>
      </c>
      <c r="G12" s="14">
        <f t="shared" ref="G12:G15" si="1">E12/D12*100</f>
        <v>137.14285714285714</v>
      </c>
    </row>
    <row r="13" spans="2:7" s="13" customFormat="1" x14ac:dyDescent="0.25">
      <c r="B13" s="17">
        <v>715</v>
      </c>
      <c r="C13" s="13" t="s">
        <v>343</v>
      </c>
      <c r="D13" s="14">
        <v>0</v>
      </c>
      <c r="E13" s="14">
        <v>0</v>
      </c>
      <c r="F13" s="14">
        <f t="shared" si="0"/>
        <v>0</v>
      </c>
      <c r="G13" s="14" t="e">
        <f t="shared" si="1"/>
        <v>#DIV/0!</v>
      </c>
    </row>
    <row r="14" spans="2:7" s="17" customFormat="1" x14ac:dyDescent="0.25">
      <c r="B14" s="17">
        <v>717</v>
      </c>
      <c r="C14" s="13" t="s">
        <v>52</v>
      </c>
      <c r="D14" s="14">
        <v>2023628</v>
      </c>
      <c r="E14" s="14">
        <v>2023628</v>
      </c>
      <c r="F14" s="14">
        <f t="shared" si="0"/>
        <v>0</v>
      </c>
      <c r="G14" s="14">
        <f t="shared" si="1"/>
        <v>100</v>
      </c>
    </row>
    <row r="15" spans="2:7" s="17" customFormat="1" x14ac:dyDescent="0.25">
      <c r="B15" s="17">
        <v>719</v>
      </c>
      <c r="C15" s="13" t="s">
        <v>54</v>
      </c>
      <c r="D15" s="14">
        <v>500</v>
      </c>
      <c r="E15" s="14">
        <v>300</v>
      </c>
      <c r="F15" s="14">
        <f t="shared" si="0"/>
        <v>-200</v>
      </c>
      <c r="G15" s="14">
        <f t="shared" si="1"/>
        <v>60</v>
      </c>
    </row>
    <row r="16" spans="2:7" s="17" customFormat="1" x14ac:dyDescent="0.25">
      <c r="C16" s="13"/>
      <c r="D16" s="14"/>
      <c r="E16" s="14"/>
      <c r="F16" s="14"/>
      <c r="G16" s="14"/>
    </row>
    <row r="17" spans="2:7" s="17" customFormat="1" x14ac:dyDescent="0.25">
      <c r="B17" s="357" t="s">
        <v>55</v>
      </c>
      <c r="C17" s="357"/>
      <c r="D17" s="27">
        <f>D19+D20+D21+D22</f>
        <v>6899700</v>
      </c>
      <c r="E17" s="27">
        <f>E19+E20+E21+E22</f>
        <v>7193862</v>
      </c>
      <c r="F17" s="27">
        <f>E17-D17</f>
        <v>294162</v>
      </c>
      <c r="G17" s="98">
        <f>E17/D17*100</f>
        <v>104.26340275664158</v>
      </c>
    </row>
    <row r="18" spans="2:7" s="17" customFormat="1" x14ac:dyDescent="0.25">
      <c r="C18" s="13"/>
      <c r="D18" s="14"/>
      <c r="E18" s="14"/>
      <c r="F18" s="14"/>
      <c r="G18" s="14"/>
    </row>
    <row r="19" spans="2:7" s="17" customFormat="1" x14ac:dyDescent="0.25">
      <c r="B19" s="17">
        <v>721</v>
      </c>
      <c r="C19" s="13" t="s">
        <v>56</v>
      </c>
      <c r="D19" s="14">
        <v>7000</v>
      </c>
      <c r="E19" s="14">
        <v>14000</v>
      </c>
      <c r="F19" s="14">
        <f>E19-D19</f>
        <v>7000</v>
      </c>
      <c r="G19" s="14">
        <f>E19/D19*100</f>
        <v>200</v>
      </c>
    </row>
    <row r="20" spans="2:7" s="17" customFormat="1" x14ac:dyDescent="0.25">
      <c r="B20" s="17">
        <v>722</v>
      </c>
      <c r="C20" s="13" t="s">
        <v>58</v>
      </c>
      <c r="D20" s="14">
        <v>6892500</v>
      </c>
      <c r="E20" s="14">
        <v>7158262</v>
      </c>
      <c r="F20" s="14">
        <f t="shared" ref="F20:F22" si="2">E20-D20</f>
        <v>265762</v>
      </c>
      <c r="G20" s="14">
        <f t="shared" ref="G20:G22" si="3">E20/D20*100</f>
        <v>103.85581429089589</v>
      </c>
    </row>
    <row r="21" spans="2:7" s="17" customFormat="1" x14ac:dyDescent="0.25">
      <c r="B21" s="17">
        <v>723</v>
      </c>
      <c r="C21" s="13" t="s">
        <v>80</v>
      </c>
      <c r="D21" s="14">
        <v>200</v>
      </c>
      <c r="E21" s="14">
        <v>100</v>
      </c>
      <c r="F21" s="14">
        <f t="shared" si="2"/>
        <v>-100</v>
      </c>
      <c r="G21" s="14">
        <f t="shared" si="3"/>
        <v>50</v>
      </c>
    </row>
    <row r="22" spans="2:7" s="17" customFormat="1" x14ac:dyDescent="0.25">
      <c r="B22" s="17">
        <v>729</v>
      </c>
      <c r="C22" s="13" t="s">
        <v>92</v>
      </c>
      <c r="D22" s="14">
        <v>0</v>
      </c>
      <c r="E22" s="14">
        <v>21500</v>
      </c>
      <c r="F22" s="14">
        <f t="shared" si="2"/>
        <v>21500</v>
      </c>
      <c r="G22" s="14" t="e">
        <f t="shared" si="3"/>
        <v>#DIV/0!</v>
      </c>
    </row>
    <row r="23" spans="2:7" s="17" customFormat="1" x14ac:dyDescent="0.25">
      <c r="C23" s="13"/>
      <c r="D23" s="14"/>
      <c r="E23" s="14"/>
      <c r="F23" s="14"/>
      <c r="G23" s="14"/>
    </row>
    <row r="24" spans="2:7" s="17" customFormat="1" x14ac:dyDescent="0.25">
      <c r="B24" s="357" t="s">
        <v>82</v>
      </c>
      <c r="C24" s="357"/>
      <c r="D24" s="27">
        <f>D26+D27</f>
        <v>340000</v>
      </c>
      <c r="E24" s="27">
        <f>E26+E27</f>
        <v>360000</v>
      </c>
      <c r="F24" s="27">
        <f>E24-D24</f>
        <v>20000</v>
      </c>
      <c r="G24" s="98">
        <f>E24/D24*100</f>
        <v>105.88235294117648</v>
      </c>
    </row>
    <row r="25" spans="2:7" s="17" customFormat="1" x14ac:dyDescent="0.25">
      <c r="C25" s="13"/>
      <c r="D25" s="14"/>
      <c r="E25" s="14"/>
      <c r="F25" s="14"/>
      <c r="G25" s="14"/>
    </row>
    <row r="26" spans="2:7" s="17" customFormat="1" x14ac:dyDescent="0.25">
      <c r="B26" s="17">
        <v>731</v>
      </c>
      <c r="C26" s="13" t="s">
        <v>83</v>
      </c>
      <c r="D26" s="14">
        <v>200000</v>
      </c>
      <c r="E26" s="14">
        <v>200000</v>
      </c>
      <c r="F26" s="14">
        <f>E26-D26</f>
        <v>0</v>
      </c>
      <c r="G26" s="14">
        <f>E26/D26*100</f>
        <v>100</v>
      </c>
    </row>
    <row r="27" spans="2:7" s="17" customFormat="1" x14ac:dyDescent="0.25">
      <c r="B27" s="17">
        <v>781</v>
      </c>
      <c r="C27" s="13" t="s">
        <v>84</v>
      </c>
      <c r="D27" s="14">
        <v>140000</v>
      </c>
      <c r="E27" s="14">
        <v>160000</v>
      </c>
      <c r="F27" s="14">
        <f>E27-D27</f>
        <v>20000</v>
      </c>
      <c r="G27" s="14">
        <f>E27/D27*100</f>
        <v>114.28571428571428</v>
      </c>
    </row>
    <row r="28" spans="2:7" s="17" customFormat="1" x14ac:dyDescent="0.25">
      <c r="C28" s="13"/>
      <c r="D28" s="14"/>
      <c r="E28" s="14"/>
      <c r="F28" s="14"/>
      <c r="G28" s="14"/>
    </row>
    <row r="29" spans="2:7" s="43" customFormat="1" x14ac:dyDescent="0.25">
      <c r="B29" s="59"/>
      <c r="C29" s="60" t="s">
        <v>93</v>
      </c>
      <c r="D29" s="61">
        <f>D31+D45+D43</f>
        <v>5401828</v>
      </c>
      <c r="E29" s="61">
        <f>E31+E45+E43</f>
        <v>6071340</v>
      </c>
      <c r="F29" s="123">
        <f>E29-D29</f>
        <v>669512</v>
      </c>
      <c r="G29" s="92">
        <f>E29/D29*100</f>
        <v>112.39417471270836</v>
      </c>
    </row>
    <row r="30" spans="2:7" s="43" customFormat="1" x14ac:dyDescent="0.25">
      <c r="B30" s="53"/>
      <c r="C30" s="52"/>
      <c r="D30" s="20"/>
      <c r="E30" s="20"/>
      <c r="F30" s="20"/>
      <c r="G30" s="14"/>
    </row>
    <row r="31" spans="2:7" s="43" customFormat="1" x14ac:dyDescent="0.25">
      <c r="B31" s="9"/>
      <c r="C31" s="19" t="s">
        <v>13</v>
      </c>
      <c r="D31" s="12">
        <f>D33+D34+D35+D36+D37+D38+D39</f>
        <v>5297828</v>
      </c>
      <c r="E31" s="12">
        <f>E33+E34+E35+E36+E37+E38+E39</f>
        <v>6027340</v>
      </c>
      <c r="F31" s="12">
        <f>E31-D31</f>
        <v>729512</v>
      </c>
      <c r="G31" s="93">
        <f>E31/D31*100</f>
        <v>113.77002046876569</v>
      </c>
    </row>
    <row r="32" spans="2:7" s="43" customFormat="1" x14ac:dyDescent="0.25">
      <c r="B32" s="53"/>
      <c r="C32" s="55"/>
      <c r="D32" s="54"/>
      <c r="E32" s="54"/>
      <c r="F32" s="54"/>
      <c r="G32" s="14"/>
    </row>
    <row r="33" spans="2:18" s="43" customFormat="1" x14ac:dyDescent="0.25">
      <c r="B33" s="43">
        <v>411</v>
      </c>
      <c r="C33" s="55" t="s">
        <v>94</v>
      </c>
      <c r="D33" s="54">
        <v>1075028</v>
      </c>
      <c r="E33" s="54">
        <v>1111500</v>
      </c>
      <c r="F33" s="14">
        <f>E33-D33</f>
        <v>36472</v>
      </c>
      <c r="G33" s="14">
        <f>E33/D33*100</f>
        <v>103.39265581919727</v>
      </c>
    </row>
    <row r="34" spans="2:18" s="43" customFormat="1" x14ac:dyDescent="0.25">
      <c r="B34" s="43">
        <v>412</v>
      </c>
      <c r="C34" s="55" t="s">
        <v>8</v>
      </c>
      <c r="D34" s="54">
        <v>1483300</v>
      </c>
      <c r="E34" s="54">
        <v>1689840</v>
      </c>
      <c r="F34" s="14">
        <f t="shared" ref="F34:F39" si="4">E34-D34</f>
        <v>206540</v>
      </c>
      <c r="G34" s="14">
        <f t="shared" ref="G34:G39" si="5">E34/D34*100</f>
        <v>113.92435785073822</v>
      </c>
    </row>
    <row r="35" spans="2:18" s="43" customFormat="1" x14ac:dyDescent="0.25">
      <c r="B35" s="43">
        <v>413</v>
      </c>
      <c r="C35" s="62" t="s">
        <v>95</v>
      </c>
      <c r="D35" s="54">
        <v>0</v>
      </c>
      <c r="E35" s="54">
        <v>25000</v>
      </c>
      <c r="F35" s="14">
        <f t="shared" si="4"/>
        <v>25000</v>
      </c>
      <c r="G35" s="14" t="e">
        <f t="shared" si="5"/>
        <v>#DIV/0!</v>
      </c>
      <c r="R35" s="17"/>
    </row>
    <row r="36" spans="2:18" s="17" customFormat="1" x14ac:dyDescent="0.25">
      <c r="B36" s="17">
        <v>414</v>
      </c>
      <c r="C36" s="13" t="s">
        <v>11</v>
      </c>
      <c r="D36" s="14">
        <v>203000</v>
      </c>
      <c r="E36" s="14">
        <v>203000</v>
      </c>
      <c r="F36" s="14">
        <f t="shared" si="4"/>
        <v>0</v>
      </c>
      <c r="G36" s="14">
        <f t="shared" si="5"/>
        <v>100</v>
      </c>
    </row>
    <row r="37" spans="2:18" s="17" customFormat="1" x14ac:dyDescent="0.25">
      <c r="B37" s="17">
        <v>415</v>
      </c>
      <c r="C37" s="13" t="s">
        <v>9</v>
      </c>
      <c r="D37" s="14">
        <v>1396500</v>
      </c>
      <c r="E37" s="14">
        <v>1827000</v>
      </c>
      <c r="F37" s="14">
        <f t="shared" si="4"/>
        <v>430500</v>
      </c>
      <c r="G37" s="14">
        <f t="shared" si="5"/>
        <v>130.82706766917295</v>
      </c>
    </row>
    <row r="38" spans="2:18" s="17" customFormat="1" x14ac:dyDescent="0.25">
      <c r="B38" s="17">
        <v>416</v>
      </c>
      <c r="C38" s="13" t="s">
        <v>12</v>
      </c>
      <c r="D38" s="14">
        <v>1130000</v>
      </c>
      <c r="E38" s="14">
        <v>1168000</v>
      </c>
      <c r="F38" s="14">
        <f t="shared" si="4"/>
        <v>38000</v>
      </c>
      <c r="G38" s="14">
        <f t="shared" si="5"/>
        <v>103.36283185840709</v>
      </c>
    </row>
    <row r="39" spans="2:18" s="17" customFormat="1" x14ac:dyDescent="0.25">
      <c r="B39" s="17">
        <v>419</v>
      </c>
      <c r="C39" s="13" t="s">
        <v>140</v>
      </c>
      <c r="D39" s="14">
        <v>10000</v>
      </c>
      <c r="E39" s="14">
        <v>3000</v>
      </c>
      <c r="F39" s="14">
        <f t="shared" si="4"/>
        <v>-7000</v>
      </c>
      <c r="G39" s="14">
        <f t="shared" si="5"/>
        <v>30</v>
      </c>
    </row>
    <row r="40" spans="2:18" s="17" customFormat="1" x14ac:dyDescent="0.25">
      <c r="C40" s="13"/>
      <c r="D40" s="14"/>
      <c r="E40" s="14"/>
      <c r="F40" s="54"/>
      <c r="G40" s="14"/>
    </row>
    <row r="41" spans="2:18" s="17" customFormat="1" ht="14.25" x14ac:dyDescent="0.25">
      <c r="B41" s="120"/>
      <c r="C41" s="121" t="s">
        <v>84</v>
      </c>
      <c r="D41" s="122">
        <f>D43</f>
        <v>4000</v>
      </c>
      <c r="E41" s="122">
        <f>E43</f>
        <v>12000</v>
      </c>
      <c r="F41" s="122"/>
      <c r="G41" s="122"/>
    </row>
    <row r="42" spans="2:18" s="17" customFormat="1" x14ac:dyDescent="0.25">
      <c r="C42" s="13"/>
      <c r="D42" s="14"/>
      <c r="E42" s="14"/>
      <c r="F42" s="14"/>
      <c r="G42" s="14"/>
    </row>
    <row r="43" spans="2:18" s="17" customFormat="1" x14ac:dyDescent="0.25">
      <c r="B43" s="17">
        <v>480</v>
      </c>
      <c r="C43" s="13" t="s">
        <v>147</v>
      </c>
      <c r="D43" s="14">
        <v>4000</v>
      </c>
      <c r="E43" s="14">
        <v>12000</v>
      </c>
      <c r="F43" s="14">
        <f>E43-D43</f>
        <v>8000</v>
      </c>
      <c r="G43" s="14">
        <f>E43/D43*100</f>
        <v>300</v>
      </c>
    </row>
    <row r="44" spans="2:18" s="17" customFormat="1" x14ac:dyDescent="0.25">
      <c r="C44" s="13"/>
      <c r="D44" s="14"/>
      <c r="E44" s="14"/>
      <c r="F44" s="14"/>
      <c r="G44" s="14"/>
      <c r="M44" s="18"/>
    </row>
    <row r="45" spans="2:18" x14ac:dyDescent="0.25">
      <c r="B45" s="63" t="s">
        <v>96</v>
      </c>
      <c r="C45" s="64" t="s">
        <v>97</v>
      </c>
      <c r="D45" s="65">
        <v>100000</v>
      </c>
      <c r="E45" s="65">
        <v>32000</v>
      </c>
      <c r="F45" s="65">
        <v>-100000</v>
      </c>
      <c r="G45" s="97">
        <v>0</v>
      </c>
    </row>
    <row r="46" spans="2:18" s="17" customFormat="1" x14ac:dyDescent="0.25">
      <c r="C46" s="13"/>
      <c r="D46" s="14"/>
      <c r="E46" s="14"/>
      <c r="F46" s="14"/>
      <c r="G46" s="14"/>
    </row>
    <row r="47" spans="2:18" s="17" customFormat="1" x14ac:dyDescent="0.25">
      <c r="B47" s="66"/>
      <c r="C47" s="67" t="s">
        <v>98</v>
      </c>
      <c r="D47" s="68">
        <f>D7-D29</f>
        <v>4109000</v>
      </c>
      <c r="E47" s="68">
        <f>E7-E29</f>
        <v>3900450</v>
      </c>
      <c r="F47" s="68"/>
      <c r="G47" s="95"/>
    </row>
    <row r="48" spans="2:18" s="17" customFormat="1" x14ac:dyDescent="0.25">
      <c r="C48" s="13"/>
      <c r="D48" s="14"/>
      <c r="E48" s="14"/>
      <c r="F48" s="14"/>
      <c r="G48" s="14"/>
    </row>
    <row r="49" spans="2:7" x14ac:dyDescent="0.25">
      <c r="B49" s="9"/>
      <c r="C49" s="19" t="s">
        <v>99</v>
      </c>
      <c r="D49" s="12">
        <f>D51-D52</f>
        <v>-4109000</v>
      </c>
      <c r="E49" s="12">
        <f>E51-E52</f>
        <v>-7649450</v>
      </c>
      <c r="F49" s="12"/>
      <c r="G49" s="93"/>
    </row>
    <row r="50" spans="2:7" s="17" customFormat="1" x14ac:dyDescent="0.25">
      <c r="C50" s="13"/>
      <c r="D50" s="14"/>
      <c r="E50" s="14"/>
      <c r="F50" s="14"/>
      <c r="G50" s="14"/>
    </row>
    <row r="51" spans="2:7" s="69" customFormat="1" x14ac:dyDescent="0.25">
      <c r="B51" s="69">
        <v>810</v>
      </c>
      <c r="C51" s="70" t="s">
        <v>100</v>
      </c>
      <c r="D51" s="71">
        <v>0</v>
      </c>
      <c r="E51" s="71">
        <v>0</v>
      </c>
      <c r="F51" s="71">
        <f>E51-D51</f>
        <v>0</v>
      </c>
      <c r="G51" s="14">
        <v>0</v>
      </c>
    </row>
    <row r="52" spans="2:7" s="69" customFormat="1" x14ac:dyDescent="0.25">
      <c r="B52" s="69">
        <v>510</v>
      </c>
      <c r="C52" s="70" t="s">
        <v>101</v>
      </c>
      <c r="D52" s="71">
        <f>3484000+612000+13000</f>
        <v>4109000</v>
      </c>
      <c r="E52" s="71">
        <v>7649450</v>
      </c>
      <c r="F52" s="71">
        <f>E52-D52</f>
        <v>3540450</v>
      </c>
      <c r="G52" s="14">
        <f>E52/D52*100</f>
        <v>186.16330007301048</v>
      </c>
    </row>
    <row r="53" spans="2:7" x14ac:dyDescent="0.25">
      <c r="G53" s="14"/>
    </row>
    <row r="54" spans="2:7" x14ac:dyDescent="0.25">
      <c r="B54" s="72"/>
      <c r="C54" s="49" t="s">
        <v>102</v>
      </c>
      <c r="D54" s="50">
        <f>D47+D49</f>
        <v>0</v>
      </c>
      <c r="E54" s="50">
        <f>E47+E49</f>
        <v>-3749000</v>
      </c>
      <c r="F54" s="50">
        <v>0</v>
      </c>
      <c r="G54" s="95">
        <v>0</v>
      </c>
    </row>
    <row r="55" spans="2:7" s="53" customFormat="1" x14ac:dyDescent="0.25">
      <c r="C55" s="52"/>
      <c r="D55" s="20"/>
      <c r="E55" s="20"/>
      <c r="F55" s="20"/>
      <c r="G55" s="14"/>
    </row>
    <row r="56" spans="2:7" s="36" customFormat="1" x14ac:dyDescent="0.25">
      <c r="B56" s="73"/>
      <c r="C56" s="74" t="s">
        <v>103</v>
      </c>
      <c r="D56" s="75">
        <f>D58+D64</f>
        <v>0</v>
      </c>
      <c r="E56" s="75">
        <f>E64+E58</f>
        <v>3749000</v>
      </c>
      <c r="F56" s="75">
        <v>0</v>
      </c>
      <c r="G56" s="94">
        <v>0</v>
      </c>
    </row>
    <row r="57" spans="2:7" s="36" customFormat="1" x14ac:dyDescent="0.25">
      <c r="C57" s="37"/>
      <c r="D57" s="38"/>
      <c r="E57" s="38"/>
      <c r="F57" s="38"/>
      <c r="G57" s="14"/>
    </row>
    <row r="58" spans="2:7" x14ac:dyDescent="0.25">
      <c r="B58" s="9"/>
      <c r="C58" s="19" t="s">
        <v>104</v>
      </c>
      <c r="D58" s="12">
        <f>D60-D61</f>
        <v>0</v>
      </c>
      <c r="E58" s="12">
        <v>-1000</v>
      </c>
      <c r="F58" s="12">
        <v>0</v>
      </c>
      <c r="G58" s="93">
        <v>0</v>
      </c>
    </row>
    <row r="59" spans="2:7" x14ac:dyDescent="0.25">
      <c r="G59" s="14"/>
    </row>
    <row r="60" spans="2:7" s="69" customFormat="1" x14ac:dyDescent="0.25">
      <c r="B60" s="69">
        <v>910</v>
      </c>
      <c r="C60" s="70" t="s">
        <v>105</v>
      </c>
      <c r="D60" s="71">
        <v>0</v>
      </c>
      <c r="E60" s="71">
        <v>0</v>
      </c>
      <c r="F60" s="71">
        <v>0</v>
      </c>
      <c r="G60" s="14">
        <v>0</v>
      </c>
    </row>
    <row r="61" spans="2:7" s="69" customFormat="1" x14ac:dyDescent="0.25">
      <c r="B61" s="69">
        <v>610</v>
      </c>
      <c r="C61" s="70" t="s">
        <v>106</v>
      </c>
      <c r="D61" s="71">
        <v>0</v>
      </c>
      <c r="E61" s="71">
        <v>0</v>
      </c>
      <c r="F61" s="71">
        <v>0</v>
      </c>
      <c r="G61" s="14">
        <v>0</v>
      </c>
    </row>
    <row r="62" spans="2:7" s="69" customFormat="1" x14ac:dyDescent="0.25">
      <c r="B62" s="69">
        <v>630</v>
      </c>
      <c r="C62" s="70" t="s">
        <v>382</v>
      </c>
      <c r="D62" s="71">
        <v>0</v>
      </c>
      <c r="E62" s="71">
        <v>1000</v>
      </c>
      <c r="F62" s="71"/>
      <c r="G62" s="14"/>
    </row>
    <row r="63" spans="2:7" x14ac:dyDescent="0.25">
      <c r="G63" s="14"/>
    </row>
    <row r="64" spans="2:7" x14ac:dyDescent="0.25">
      <c r="B64" s="9"/>
      <c r="C64" s="19" t="s">
        <v>107</v>
      </c>
      <c r="D64" s="12">
        <f>D66-D67</f>
        <v>0</v>
      </c>
      <c r="E64" s="12">
        <f>E66-E67</f>
        <v>3750000</v>
      </c>
      <c r="F64" s="12">
        <v>0</v>
      </c>
      <c r="G64" s="93">
        <v>0</v>
      </c>
    </row>
    <row r="65" spans="2:7" x14ac:dyDescent="0.25">
      <c r="G65" s="14"/>
    </row>
    <row r="66" spans="2:7" s="69" customFormat="1" x14ac:dyDescent="0.25">
      <c r="B66" s="69">
        <v>920</v>
      </c>
      <c r="C66" s="70" t="s">
        <v>108</v>
      </c>
      <c r="D66" s="71">
        <v>0</v>
      </c>
      <c r="E66" s="71">
        <v>3750000</v>
      </c>
      <c r="F66" s="71">
        <v>0</v>
      </c>
      <c r="G66" s="14">
        <v>0</v>
      </c>
    </row>
    <row r="67" spans="2:7" s="69" customFormat="1" x14ac:dyDescent="0.25">
      <c r="B67" s="69">
        <v>620</v>
      </c>
      <c r="C67" s="70" t="s">
        <v>109</v>
      </c>
      <c r="D67" s="71">
        <v>0</v>
      </c>
      <c r="E67" s="71">
        <v>0</v>
      </c>
      <c r="F67" s="71">
        <v>0</v>
      </c>
      <c r="G67" s="14">
        <v>0</v>
      </c>
    </row>
    <row r="68" spans="2:7" s="69" customFormat="1" x14ac:dyDescent="0.25">
      <c r="C68" s="70"/>
      <c r="D68" s="71"/>
      <c r="E68" s="71"/>
      <c r="F68" s="71"/>
      <c r="G68" s="14"/>
    </row>
    <row r="69" spans="2:7" s="69" customFormat="1" ht="12.75" customHeight="1" x14ac:dyDescent="0.25">
      <c r="B69" s="362" t="s">
        <v>381</v>
      </c>
      <c r="C69" s="362"/>
      <c r="D69" s="109">
        <v>0</v>
      </c>
      <c r="E69" s="102">
        <v>0</v>
      </c>
      <c r="F69" s="108">
        <v>0</v>
      </c>
      <c r="G69" s="103">
        <v>0</v>
      </c>
    </row>
    <row r="70" spans="2:7" x14ac:dyDescent="0.25">
      <c r="G70" s="14"/>
    </row>
    <row r="71" spans="2:7" x14ac:dyDescent="0.25">
      <c r="B71" s="76"/>
      <c r="C71" s="77" t="s">
        <v>110</v>
      </c>
      <c r="D71" s="33">
        <f>D54+D56</f>
        <v>0</v>
      </c>
      <c r="E71" s="33">
        <f>E54+E56</f>
        <v>0</v>
      </c>
      <c r="F71" s="33">
        <v>0</v>
      </c>
      <c r="G71" s="91">
        <v>0</v>
      </c>
    </row>
  </sheetData>
  <mergeCells count="5">
    <mergeCell ref="B9:C9"/>
    <mergeCell ref="B17:C17"/>
    <mergeCell ref="B24:C24"/>
    <mergeCell ref="B2:G2"/>
    <mergeCell ref="B69:C69"/>
  </mergeCells>
  <pageMargins left="0.23622047244094499" right="0.23622047244094499" top="0.74803149606299202" bottom="0.74803149606299202" header="0.31496062992126" footer="0.31496062992126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8"/>
  <sheetViews>
    <sheetView workbookViewId="0">
      <selection activeCell="D15" sqref="D15"/>
    </sheetView>
  </sheetViews>
  <sheetFormatPr defaultRowHeight="12.75" x14ac:dyDescent="0.25"/>
  <cols>
    <col min="1" max="1" width="9.140625" style="1"/>
    <col min="2" max="2" width="15" style="1" customWidth="1"/>
    <col min="3" max="3" width="47.28515625" style="46" customWidth="1"/>
    <col min="4" max="4" width="12.85546875" style="16" customWidth="1"/>
    <col min="5" max="6" width="12.7109375" style="16" customWidth="1"/>
    <col min="7" max="7" width="10.28515625" style="1" customWidth="1"/>
    <col min="8" max="16384" width="9.140625" style="1"/>
  </cols>
  <sheetData>
    <row r="2" spans="2:6" ht="43.5" customHeight="1" x14ac:dyDescent="0.25">
      <c r="B2" s="359" t="s">
        <v>383</v>
      </c>
      <c r="C2" s="360"/>
      <c r="D2" s="360"/>
      <c r="E2" s="360"/>
      <c r="F2" s="360"/>
    </row>
    <row r="4" spans="2:6" ht="51" x14ac:dyDescent="0.25">
      <c r="B4" s="2" t="s">
        <v>0</v>
      </c>
      <c r="C4" s="2" t="s">
        <v>1</v>
      </c>
      <c r="D4" s="3" t="s">
        <v>384</v>
      </c>
      <c r="E4" s="3" t="s">
        <v>380</v>
      </c>
      <c r="F4" s="3" t="s">
        <v>144</v>
      </c>
    </row>
    <row r="5" spans="2:6" x14ac:dyDescent="0.25">
      <c r="B5" s="1">
        <v>1</v>
      </c>
      <c r="C5" s="1">
        <v>2</v>
      </c>
      <c r="D5" s="4">
        <v>3</v>
      </c>
      <c r="E5" s="4">
        <v>4</v>
      </c>
      <c r="F5" s="4">
        <v>5</v>
      </c>
    </row>
    <row r="7" spans="2:6" x14ac:dyDescent="0.25">
      <c r="B7" s="56"/>
      <c r="C7" s="57" t="s">
        <v>111</v>
      </c>
      <c r="D7" s="58">
        <v>0</v>
      </c>
      <c r="E7" s="58">
        <f>E9+E17</f>
        <v>3749000</v>
      </c>
      <c r="F7" s="58">
        <v>3749000</v>
      </c>
    </row>
    <row r="9" spans="2:6" x14ac:dyDescent="0.25">
      <c r="B9" s="357" t="s">
        <v>112</v>
      </c>
      <c r="C9" s="357"/>
      <c r="D9" s="27">
        <f>D11-D14</f>
        <v>0</v>
      </c>
      <c r="E9" s="27">
        <f>E11-E14</f>
        <v>0</v>
      </c>
      <c r="F9" s="27">
        <f>F11-F14</f>
        <v>0</v>
      </c>
    </row>
    <row r="11" spans="2:6" x14ac:dyDescent="0.25">
      <c r="B11" s="1">
        <v>911</v>
      </c>
      <c r="C11" s="46" t="s">
        <v>113</v>
      </c>
      <c r="D11" s="16">
        <v>0</v>
      </c>
      <c r="E11" s="16">
        <v>0</v>
      </c>
      <c r="F11" s="16">
        <v>0</v>
      </c>
    </row>
    <row r="12" spans="2:6" s="13" customFormat="1" ht="14.25" customHeight="1" x14ac:dyDescent="0.25">
      <c r="B12" s="69">
        <v>9114</v>
      </c>
      <c r="C12" s="70" t="s">
        <v>114</v>
      </c>
      <c r="D12" s="71">
        <v>0</v>
      </c>
      <c r="E12" s="71">
        <v>0</v>
      </c>
      <c r="F12" s="71">
        <v>0</v>
      </c>
    </row>
    <row r="13" spans="2:6" s="17" customFormat="1" x14ac:dyDescent="0.25">
      <c r="C13" s="13"/>
      <c r="D13" s="14"/>
      <c r="E13" s="14"/>
      <c r="F13" s="14"/>
    </row>
    <row r="14" spans="2:6" s="43" customFormat="1" ht="14.25" customHeight="1" x14ac:dyDescent="0.25">
      <c r="B14" s="40">
        <v>611</v>
      </c>
      <c r="C14" s="34" t="s">
        <v>115</v>
      </c>
      <c r="D14" s="20">
        <v>0</v>
      </c>
      <c r="E14" s="20">
        <v>0</v>
      </c>
      <c r="F14" s="20">
        <v>0</v>
      </c>
    </row>
    <row r="15" spans="2:6" s="69" customFormat="1" x14ac:dyDescent="0.25">
      <c r="B15" s="69">
        <v>6114</v>
      </c>
      <c r="C15" s="70" t="s">
        <v>116</v>
      </c>
      <c r="D15" s="71">
        <v>0</v>
      </c>
      <c r="E15" s="71">
        <v>0</v>
      </c>
      <c r="F15" s="71">
        <v>0</v>
      </c>
    </row>
    <row r="17" spans="2:6" s="17" customFormat="1" x14ac:dyDescent="0.25">
      <c r="B17" s="357" t="s">
        <v>107</v>
      </c>
      <c r="C17" s="357"/>
      <c r="D17" s="27">
        <f>D19-D22</f>
        <v>0</v>
      </c>
      <c r="E17" s="27">
        <f>E19-E22-E25</f>
        <v>3749000</v>
      </c>
      <c r="F17" s="27">
        <f>F19-F22</f>
        <v>3750000</v>
      </c>
    </row>
    <row r="18" spans="2:6" s="17" customFormat="1" x14ac:dyDescent="0.25">
      <c r="C18" s="13"/>
      <c r="D18" s="14"/>
      <c r="E18" s="14"/>
      <c r="F18" s="14"/>
    </row>
    <row r="19" spans="2:6" x14ac:dyDescent="0.25">
      <c r="B19" s="1">
        <v>921</v>
      </c>
      <c r="C19" s="46" t="s">
        <v>117</v>
      </c>
      <c r="D19" s="16">
        <v>0</v>
      </c>
      <c r="E19" s="16">
        <f>E20</f>
        <v>3750000</v>
      </c>
      <c r="F19" s="16">
        <f>F20</f>
        <v>3750000</v>
      </c>
    </row>
    <row r="20" spans="2:6" s="17" customFormat="1" x14ac:dyDescent="0.25">
      <c r="B20" s="17">
        <v>9212</v>
      </c>
      <c r="C20" s="13" t="s">
        <v>118</v>
      </c>
      <c r="D20" s="14">
        <v>0</v>
      </c>
      <c r="E20" s="14">
        <v>3750000</v>
      </c>
      <c r="F20" s="14">
        <v>3750000</v>
      </c>
    </row>
    <row r="21" spans="2:6" s="17" customFormat="1" x14ac:dyDescent="0.25">
      <c r="C21" s="13"/>
      <c r="D21" s="14"/>
      <c r="E21" s="14"/>
      <c r="F21" s="14"/>
    </row>
    <row r="22" spans="2:6" s="53" customFormat="1" x14ac:dyDescent="0.25">
      <c r="B22" s="53">
        <v>621</v>
      </c>
      <c r="C22" s="52" t="s">
        <v>119</v>
      </c>
      <c r="D22" s="20">
        <v>0</v>
      </c>
      <c r="E22" s="20">
        <v>0</v>
      </c>
      <c r="F22" s="20">
        <v>0</v>
      </c>
    </row>
    <row r="23" spans="2:6" s="43" customFormat="1" x14ac:dyDescent="0.25">
      <c r="B23" s="43">
        <v>6219</v>
      </c>
      <c r="C23" s="55" t="s">
        <v>120</v>
      </c>
      <c r="D23" s="54">
        <v>0</v>
      </c>
      <c r="E23" s="54">
        <v>0</v>
      </c>
      <c r="F23" s="54">
        <v>0</v>
      </c>
    </row>
    <row r="24" spans="2:6" s="78" customFormat="1" x14ac:dyDescent="0.25">
      <c r="D24" s="20"/>
      <c r="E24" s="20"/>
      <c r="F24" s="20"/>
    </row>
    <row r="25" spans="2:6" s="78" customFormat="1" ht="24" x14ac:dyDescent="0.25">
      <c r="B25" s="53">
        <v>638</v>
      </c>
      <c r="C25" s="338" t="s">
        <v>377</v>
      </c>
      <c r="D25" s="20">
        <f>D26</f>
        <v>0</v>
      </c>
      <c r="E25" s="20">
        <f>E26</f>
        <v>1000</v>
      </c>
      <c r="F25" s="20">
        <f>F26</f>
        <v>1000</v>
      </c>
    </row>
    <row r="26" spans="2:6" s="78" customFormat="1" x14ac:dyDescent="0.25">
      <c r="B26" s="43">
        <v>638100</v>
      </c>
      <c r="C26" s="62" t="s">
        <v>382</v>
      </c>
      <c r="D26" s="54">
        <v>0</v>
      </c>
      <c r="E26" s="54">
        <v>1000</v>
      </c>
      <c r="F26" s="54">
        <v>1000</v>
      </c>
    </row>
    <row r="27" spans="2:6" s="78" customFormat="1" x14ac:dyDescent="0.25">
      <c r="D27" s="20"/>
      <c r="E27" s="20"/>
      <c r="F27" s="20"/>
    </row>
    <row r="28" spans="2:6" s="78" customFormat="1" x14ac:dyDescent="0.25">
      <c r="D28" s="20"/>
      <c r="E28" s="20"/>
      <c r="F28" s="20"/>
    </row>
    <row r="29" spans="2:6" s="78" customFormat="1" x14ac:dyDescent="0.25">
      <c r="D29" s="20"/>
      <c r="E29" s="20"/>
      <c r="F29" s="20"/>
    </row>
    <row r="30" spans="2:6" s="78" customFormat="1" x14ac:dyDescent="0.25">
      <c r="D30" s="20"/>
      <c r="E30" s="20"/>
      <c r="F30" s="20"/>
    </row>
    <row r="31" spans="2:6" s="78" customFormat="1" x14ac:dyDescent="0.25">
      <c r="D31" s="20"/>
      <c r="E31" s="20"/>
      <c r="F31" s="20"/>
    </row>
    <row r="32" spans="2:6" s="78" customFormat="1" x14ac:dyDescent="0.25">
      <c r="D32" s="20"/>
      <c r="E32" s="20"/>
      <c r="F32" s="20"/>
    </row>
    <row r="33" spans="4:6" s="78" customFormat="1" x14ac:dyDescent="0.25">
      <c r="D33" s="20"/>
      <c r="E33" s="20"/>
      <c r="F33" s="20"/>
    </row>
    <row r="34" spans="4:6" s="78" customFormat="1" x14ac:dyDescent="0.25">
      <c r="D34" s="20"/>
      <c r="E34" s="20"/>
      <c r="F34" s="20"/>
    </row>
    <row r="35" spans="4:6" s="78" customFormat="1" x14ac:dyDescent="0.25">
      <c r="D35" s="20"/>
      <c r="E35" s="20"/>
      <c r="F35" s="20"/>
    </row>
    <row r="36" spans="4:6" s="78" customFormat="1" x14ac:dyDescent="0.25">
      <c r="D36" s="20"/>
      <c r="E36" s="20"/>
      <c r="F36" s="20"/>
    </row>
    <row r="37" spans="4:6" s="78" customFormat="1" x14ac:dyDescent="0.25">
      <c r="D37" s="20"/>
      <c r="E37" s="20"/>
      <c r="F37" s="20"/>
    </row>
    <row r="38" spans="4:6" s="78" customFormat="1" x14ac:dyDescent="0.25">
      <c r="D38" s="20"/>
      <c r="E38" s="20"/>
      <c r="F38" s="20"/>
    </row>
    <row r="39" spans="4:6" s="78" customFormat="1" x14ac:dyDescent="0.25">
      <c r="D39" s="20"/>
      <c r="E39" s="20"/>
      <c r="F39" s="20"/>
    </row>
    <row r="40" spans="4:6" s="78" customFormat="1" x14ac:dyDescent="0.25">
      <c r="D40" s="20"/>
      <c r="E40" s="20"/>
      <c r="F40" s="20"/>
    </row>
    <row r="41" spans="4:6" s="78" customFormat="1" x14ac:dyDescent="0.25">
      <c r="D41" s="20"/>
      <c r="E41" s="20"/>
      <c r="F41" s="20"/>
    </row>
    <row r="42" spans="4:6" s="78" customFormat="1" x14ac:dyDescent="0.25">
      <c r="D42" s="20"/>
      <c r="E42" s="20"/>
      <c r="F42" s="20"/>
    </row>
    <row r="43" spans="4:6" s="78" customFormat="1" x14ac:dyDescent="0.25">
      <c r="D43" s="20"/>
      <c r="E43" s="20"/>
      <c r="F43" s="20"/>
    </row>
    <row r="44" spans="4:6" s="78" customFormat="1" x14ac:dyDescent="0.25">
      <c r="D44" s="20"/>
      <c r="E44" s="20"/>
      <c r="F44" s="20"/>
    </row>
    <row r="45" spans="4:6" s="78" customFormat="1" x14ac:dyDescent="0.25">
      <c r="D45" s="20"/>
      <c r="E45" s="20"/>
      <c r="F45" s="20"/>
    </row>
    <row r="46" spans="4:6" s="78" customFormat="1" x14ac:dyDescent="0.25">
      <c r="D46" s="20"/>
      <c r="E46" s="20"/>
      <c r="F46" s="20"/>
    </row>
    <row r="47" spans="4:6" s="78" customFormat="1" x14ac:dyDescent="0.25">
      <c r="D47" s="20"/>
      <c r="E47" s="20"/>
      <c r="F47" s="20"/>
    </row>
    <row r="48" spans="4:6" s="78" customFormat="1" x14ac:dyDescent="0.25">
      <c r="D48" s="20"/>
      <c r="E48" s="20"/>
      <c r="F48" s="20"/>
    </row>
    <row r="49" spans="4:6" s="78" customFormat="1" x14ac:dyDescent="0.25">
      <c r="D49" s="20"/>
      <c r="E49" s="20"/>
      <c r="F49" s="20"/>
    </row>
    <row r="50" spans="4:6" s="78" customFormat="1" x14ac:dyDescent="0.25">
      <c r="D50" s="20"/>
      <c r="E50" s="20"/>
      <c r="F50" s="20"/>
    </row>
    <row r="51" spans="4:6" s="78" customFormat="1" x14ac:dyDescent="0.25">
      <c r="D51" s="20"/>
      <c r="E51" s="20"/>
      <c r="F51" s="20"/>
    </row>
    <row r="52" spans="4:6" s="78" customFormat="1" x14ac:dyDescent="0.25">
      <c r="D52" s="20"/>
      <c r="E52" s="20"/>
      <c r="F52" s="20"/>
    </row>
    <row r="53" spans="4:6" s="78" customFormat="1" x14ac:dyDescent="0.25">
      <c r="D53" s="20"/>
      <c r="E53" s="20"/>
      <c r="F53" s="20"/>
    </row>
    <row r="54" spans="4:6" s="78" customFormat="1" x14ac:dyDescent="0.25">
      <c r="D54" s="20"/>
      <c r="E54" s="20"/>
      <c r="F54" s="20"/>
    </row>
    <row r="55" spans="4:6" s="78" customFormat="1" x14ac:dyDescent="0.25">
      <c r="D55" s="20"/>
      <c r="E55" s="20"/>
      <c r="F55" s="20"/>
    </row>
    <row r="56" spans="4:6" s="78" customFormat="1" x14ac:dyDescent="0.25">
      <c r="D56" s="20"/>
      <c r="E56" s="20"/>
      <c r="F56" s="20"/>
    </row>
    <row r="57" spans="4:6" s="78" customFormat="1" x14ac:dyDescent="0.25">
      <c r="D57" s="20"/>
      <c r="E57" s="20"/>
      <c r="F57" s="20"/>
    </row>
    <row r="58" spans="4:6" s="78" customFormat="1" x14ac:dyDescent="0.25">
      <c r="D58" s="20"/>
      <c r="E58" s="20"/>
      <c r="F58" s="20"/>
    </row>
  </sheetData>
  <mergeCells count="3">
    <mergeCell ref="B9:C9"/>
    <mergeCell ref="B17:C17"/>
    <mergeCell ref="B2:F2"/>
  </mergeCells>
  <pageMargins left="0.70866141732283472" right="0.70866141732283472" top="0.74803149606299213" bottom="0.74803149606299213" header="0.31496062992125984" footer="0.31496062992125984"/>
  <pageSetup paperSize="9" scale="1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"/>
  <sheetViews>
    <sheetView tabSelected="1" topLeftCell="A7" zoomScale="115" zoomScaleNormal="115" workbookViewId="0">
      <selection activeCell="E9" sqref="E9"/>
    </sheetView>
  </sheetViews>
  <sheetFormatPr defaultRowHeight="15" x14ac:dyDescent="0.25"/>
  <cols>
    <col min="4" max="4" width="56.28515625" customWidth="1"/>
    <col min="5" max="5" width="23.42578125" customWidth="1"/>
    <col min="6" max="6" width="14.140625" customWidth="1"/>
  </cols>
  <sheetData>
    <row r="1" spans="2:6" ht="15.75" thickBot="1" x14ac:dyDescent="0.3"/>
    <row r="2" spans="2:6" ht="15.75" x14ac:dyDescent="0.25">
      <c r="B2" s="363" t="s">
        <v>385</v>
      </c>
      <c r="C2" s="364"/>
      <c r="D2" s="364"/>
      <c r="E2" s="364"/>
    </row>
    <row r="3" spans="2:6" ht="22.5" x14ac:dyDescent="0.25">
      <c r="B3" s="365"/>
      <c r="C3" s="366"/>
      <c r="D3" s="79" t="s">
        <v>121</v>
      </c>
      <c r="E3" s="80" t="s">
        <v>346</v>
      </c>
    </row>
    <row r="4" spans="2:6" x14ac:dyDescent="0.25">
      <c r="B4" s="365">
        <v>1</v>
      </c>
      <c r="C4" s="366"/>
      <c r="D4" s="81">
        <v>2</v>
      </c>
      <c r="E4" s="82">
        <v>3</v>
      </c>
    </row>
    <row r="5" spans="2:6" x14ac:dyDescent="0.25">
      <c r="B5" s="83"/>
      <c r="C5" s="84" t="s">
        <v>122</v>
      </c>
      <c r="D5" s="85" t="s">
        <v>123</v>
      </c>
      <c r="E5" s="86">
        <f>'ОРГАНИЗАЦИОНА 6'!G12+'ОРГАНИЗАЦИОНА 6'!G18+'ОРГАНИЗАЦИОНА 6'!G64+'ОРГАНИЗАЦИОНА 6'!G66+'ОРГАНИЗАЦИОНА 6'!G99+'ОРГАНИЗАЦИОНА 6'!G110+'ОРГАНИЗАЦИОНА 6'!G111+'ОРГАНИЗАЦИОНА 6'!G112+'ОРГАНИЗАЦИОНА 6'!G113+'ОРГАНИЗАЦИОНА 6'!G134+'ОРГАНИЗАЦИОНА 6'!G140+'ОРГАНИЗАЦИОНА 6'!G160+'ОРГАНИЗАЦИОНА 6'!G163+'ОРГАНИЗАЦИОНА 6'!G164+'ОРГАНИЗАЦИОНА 6'!G165+'ОРГАНИЗАЦИОНА 6'!G166+'ОРГАНИЗАЦИОНА 6'!G194+'ОРГАНИЗАЦИОНА 6'!G195+'ОРГАНИЗАЦИОНА 6'!G196+'ОРГАНИЗАЦИОНА 6'!G197+'ОРГАНИЗАЦИОНА 6'!G198+'ОРГАНИЗАЦИОНА 6'!G199+'ОРГАНИЗАЦИОНА 6'!G209+'ОРГАНИЗАЦИОНА 6'!G208</f>
        <v>1834890</v>
      </c>
      <c r="F5" t="s">
        <v>155</v>
      </c>
    </row>
    <row r="6" spans="2:6" x14ac:dyDescent="0.25">
      <c r="B6" s="83"/>
      <c r="C6" s="84" t="s">
        <v>124</v>
      </c>
      <c r="D6" s="85" t="s">
        <v>125</v>
      </c>
      <c r="E6" s="86">
        <v>0</v>
      </c>
    </row>
    <row r="7" spans="2:6" x14ac:dyDescent="0.25">
      <c r="B7" s="83"/>
      <c r="C7" s="84" t="s">
        <v>126</v>
      </c>
      <c r="D7" s="85" t="s">
        <v>127</v>
      </c>
      <c r="E7" s="86">
        <f>'ОРГАНИЗАЦИОНА 6'!G84</f>
        <v>7000</v>
      </c>
      <c r="F7" t="s">
        <v>155</v>
      </c>
    </row>
    <row r="8" spans="2:6" x14ac:dyDescent="0.25">
      <c r="B8" s="83"/>
      <c r="C8" s="84" t="s">
        <v>128</v>
      </c>
      <c r="D8" s="85" t="s">
        <v>129</v>
      </c>
      <c r="E8" s="86">
        <f>'ОРГАНИЗАЦИОНА 6'!G8+'ОРГАНИЗАЦИОНА 6'!G15+'ОРГАНИЗАЦИОНА 6'!G35+'ОРГАНИЗАЦИОНА 6'!G42+'ОРГАНИЗАЦИОНА 6'!G45+'ОРГАНИЗАЦИОНА 6'!G47+'ОРГАНИЗАЦИОНА 6'!G49+'ОРГАНИЗАЦИОНА 6'!G105+'ОРГАНИЗАЦИОНА 6'!G106+'ОРГАНИЗАЦИОНА 6'!G108+'ОРГАНИЗАЦИОНА 6'!G109+'ОРГАНИЗАЦИОНА 6'!G114+'ОРГАНИЗАЦИОНА 6'!G117+'ОРГАНИЗАЦИОНА 6'!G120+'ОРГАНИЗАЦИОНА 6'!G125+'ОРГАНИЗАЦИОНА 6'!G127+'ОРГАНИЗАЦИОНА 6'!G149+'ОРГАНИЗАЦИОНА 6'!G216+'ОРГАНИЗАЦИОНА 6'!G221+'ОРГАНИЗАЦИОНА 6'!G230+'ОРГАНИЗАЦИОНА 6'!G232+'ОРГАНИЗАЦИОНА 6'!G238+'ОРГАНИЗАЦИОНА 6'!G252-99000+'ОРГАНИЗАЦИОНА 6'!G151+104000</f>
        <v>1821400</v>
      </c>
      <c r="F8" t="s">
        <v>155</v>
      </c>
    </row>
    <row r="9" spans="2:6" x14ac:dyDescent="0.25">
      <c r="B9" s="83"/>
      <c r="C9" s="84">
        <v>5</v>
      </c>
      <c r="D9" s="85" t="s">
        <v>130</v>
      </c>
      <c r="E9" s="86">
        <f>'ОРГАНИЗАЦИОНА 6'!G241+'ОРГАНИЗАЦИОНА 6'!G202</f>
        <v>859500</v>
      </c>
      <c r="F9" t="s">
        <v>155</v>
      </c>
    </row>
    <row r="10" spans="2:6" x14ac:dyDescent="0.25">
      <c r="B10" s="83"/>
      <c r="C10" s="84" t="s">
        <v>131</v>
      </c>
      <c r="D10" s="85" t="s">
        <v>132</v>
      </c>
      <c r="E10" s="86">
        <f>'ОРГАНИЗАЦИОНА 6'!G255</f>
        <v>7054000</v>
      </c>
      <c r="F10" t="s">
        <v>155</v>
      </c>
    </row>
    <row r="11" spans="2:6" x14ac:dyDescent="0.25">
      <c r="B11" s="83"/>
      <c r="C11" s="84" t="s">
        <v>133</v>
      </c>
      <c r="D11" s="85" t="s">
        <v>134</v>
      </c>
      <c r="E11" s="86">
        <f>'ОРГАНИЗАЦИОНА 6'!G204</f>
        <v>370000</v>
      </c>
      <c r="F11" t="s">
        <v>156</v>
      </c>
    </row>
    <row r="12" spans="2:6" x14ac:dyDescent="0.25">
      <c r="B12" s="83"/>
      <c r="C12" s="84" t="s">
        <v>135</v>
      </c>
      <c r="D12" s="85" t="s">
        <v>136</v>
      </c>
      <c r="E12" s="86">
        <f>'ОРГАНИЗАЦИОНА 6'!G203+'ОРГАНИЗАЦИОНА 6'!G205+'ОРГАНИЗАЦИОНА 6'!G208+'ОРГАНИЗАЦИОНА 6'!G188+'ОРГАНИЗАЦИОНА 6'!G187+'ОРГАНИЗАЦИОНА 6'!G182+'ОРГАНИЗАЦИОНА 6'!G181+'ОРГАНИЗАЦИОНА 6'!G180+'ОРГАНИЗАЦИОНА 6'!G179+'ОРГАНИЗАЦИОНА 6'!G178+'ОРГАНИЗАЦИОНА 6'!G177+'ОРГАНИЗАЦИОНА 6'!G176+'ОРГАНИЗАЦИОНА 6'!G173+'ОРГАНИЗАЦИОНА 6'!G172+'ОРГАНИЗАЦИОНА 6'!G171+'ОРГАНИЗАЦИОНА 6'!G170+'ОРГАНИЗАЦИОНА 6'!G169</f>
        <v>465000</v>
      </c>
      <c r="F12" t="s">
        <v>157</v>
      </c>
    </row>
    <row r="13" spans="2:6" x14ac:dyDescent="0.25">
      <c r="B13" s="83"/>
      <c r="C13" s="84" t="s">
        <v>137</v>
      </c>
      <c r="D13" s="85" t="s">
        <v>138</v>
      </c>
      <c r="E13" s="86">
        <f>'ОРГАНИЗАЦИОНА 6'!G206</f>
        <v>110000</v>
      </c>
      <c r="F13" t="s">
        <v>156</v>
      </c>
    </row>
    <row r="14" spans="2:6" x14ac:dyDescent="0.25">
      <c r="B14" s="83"/>
      <c r="C14" s="84">
        <v>10</v>
      </c>
      <c r="D14" s="85" t="s">
        <v>7</v>
      </c>
      <c r="E14" s="86">
        <f>'ОРГАНИЗАЦИОНА 6'!G67+'ОРГАНИЗАЦИОНА 6'!G155</f>
        <v>1168000</v>
      </c>
      <c r="F14" t="s">
        <v>156</v>
      </c>
    </row>
    <row r="15" spans="2:6" ht="15.75" thickBot="1" x14ac:dyDescent="0.3">
      <c r="B15" s="87"/>
      <c r="C15" s="88"/>
      <c r="D15" s="89" t="s">
        <v>139</v>
      </c>
      <c r="E15" s="90">
        <f>SUM(E5:E14)</f>
        <v>13689790</v>
      </c>
    </row>
    <row r="16" spans="2:6" x14ac:dyDescent="0.25">
      <c r="E16" s="99"/>
    </row>
    <row r="17" spans="2:6" x14ac:dyDescent="0.25">
      <c r="E17" s="124"/>
    </row>
    <row r="18" spans="2:6" ht="15.75" x14ac:dyDescent="0.25">
      <c r="B18" s="125" t="s">
        <v>148</v>
      </c>
      <c r="C18" s="126"/>
      <c r="D18" s="367"/>
      <c r="E18" s="367"/>
    </row>
    <row r="19" spans="2:6" ht="63" x14ac:dyDescent="0.25">
      <c r="B19" s="127" t="s">
        <v>149</v>
      </c>
      <c r="C19" s="127" t="s">
        <v>150</v>
      </c>
      <c r="D19" s="128" t="s">
        <v>388</v>
      </c>
      <c r="E19" s="128" t="s">
        <v>386</v>
      </c>
      <c r="F19" s="128" t="s">
        <v>387</v>
      </c>
    </row>
    <row r="20" spans="2:6" ht="15.75" x14ac:dyDescent="0.25">
      <c r="B20" s="129">
        <v>1</v>
      </c>
      <c r="C20" s="127">
        <v>2</v>
      </c>
      <c r="D20" s="127">
        <v>3</v>
      </c>
      <c r="E20" s="127">
        <v>4</v>
      </c>
      <c r="F20" s="127">
        <v>5</v>
      </c>
    </row>
    <row r="21" spans="2:6" x14ac:dyDescent="0.25">
      <c r="B21" s="130" t="s">
        <v>151</v>
      </c>
      <c r="C21" s="131" t="s">
        <v>152</v>
      </c>
      <c r="D21" s="132"/>
      <c r="E21" s="132">
        <v>7980828</v>
      </c>
      <c r="F21" s="132">
        <f>E5+E7+E8+E9+E10</f>
        <v>11576790</v>
      </c>
    </row>
    <row r="22" spans="2:6" x14ac:dyDescent="0.25">
      <c r="B22" s="130" t="s">
        <v>153</v>
      </c>
      <c r="C22" s="131" t="s">
        <v>154</v>
      </c>
      <c r="D22" s="132"/>
      <c r="E22" s="132">
        <v>1410000</v>
      </c>
      <c r="F22" s="132">
        <f>E11+E12+E13+E14</f>
        <v>2113000</v>
      </c>
    </row>
    <row r="23" spans="2:6" ht="31.5" x14ac:dyDescent="0.25">
      <c r="B23" s="131"/>
      <c r="C23" s="133" t="s">
        <v>142</v>
      </c>
      <c r="D23" s="134">
        <f>D21+D22</f>
        <v>0</v>
      </c>
      <c r="E23" s="134">
        <f t="shared" ref="E23:F23" si="0">E21+E22</f>
        <v>9390828</v>
      </c>
      <c r="F23" s="134">
        <f t="shared" si="0"/>
        <v>13689790</v>
      </c>
    </row>
  </sheetData>
  <mergeCells count="4">
    <mergeCell ref="B2:E2"/>
    <mergeCell ref="B3:C3"/>
    <mergeCell ref="B4:C4"/>
    <mergeCell ref="D18:E1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РАСХОДИ И ИЗДАЦИ 3</vt:lpstr>
      <vt:lpstr>ОРГАНИЗАЦИОНА 6</vt:lpstr>
      <vt:lpstr>ПРИХОДИ И ПРИМИЦИ 2</vt:lpstr>
      <vt:lpstr>ОПШТИ ДИО 1</vt:lpstr>
      <vt:lpstr>ФИНАНСИРАЊЕ 4</vt:lpstr>
      <vt:lpstr>ФУНКЦИОНАЛНА КЛАСИФИКАЦИЈА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 User</cp:lastModifiedBy>
  <cp:lastPrinted>2019-10-08T08:46:50Z</cp:lastPrinted>
  <dcterms:created xsi:type="dcterms:W3CDTF">2016-11-01T23:26:36Z</dcterms:created>
  <dcterms:modified xsi:type="dcterms:W3CDTF">2019-10-08T09:14:22Z</dcterms:modified>
</cp:coreProperties>
</file>