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BUDŽET 2020\"/>
    </mc:Choice>
  </mc:AlternateContent>
  <bookViews>
    <workbookView xWindow="-105" yWindow="-105" windowWidth="23250" windowHeight="12570" firstSheet="2" activeTab="2"/>
  </bookViews>
  <sheets>
    <sheet name="ФУНКЦИОНАЛНА 2018 5" sheetId="5" r:id="rId1"/>
    <sheet name="ФИНАНСИРАЊЕ 2018 4" sheetId="6" r:id="rId2"/>
    <sheet name="ОРГАНИЗАЦИОНА 2019 6" sheetId="2" r:id="rId3"/>
    <sheet name="ОПШТИ ДИО 2018 1" sheetId="3" r:id="rId4"/>
    <sheet name="ПРИХОДИ И ПРИМИЦИ 2018 3" sheetId="1" r:id="rId5"/>
    <sheet name="РАСХОДИ И ИЗДАЦИ 2019 2" sheetId="4" r:id="rId6"/>
  </sheets>
  <calcPr calcId="152511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" i="4" l="1"/>
  <c r="G7" i="4"/>
  <c r="G18" i="2"/>
  <c r="G64" i="2"/>
  <c r="G100" i="2"/>
  <c r="G99" i="2"/>
  <c r="G126" i="2"/>
  <c r="E6" i="5"/>
  <c r="G84" i="2"/>
  <c r="E8" i="5"/>
  <c r="G8" i="2"/>
  <c r="G10" i="2"/>
  <c r="G12" i="2"/>
  <c r="G15" i="2"/>
  <c r="G35" i="2"/>
  <c r="G42" i="2"/>
  <c r="G45" i="2"/>
  <c r="G47" i="2"/>
  <c r="G49" i="2"/>
  <c r="G116" i="2"/>
  <c r="G133" i="2"/>
  <c r="G155" i="2"/>
  <c r="G157" i="2"/>
  <c r="G222" i="2"/>
  <c r="G236" i="2"/>
  <c r="G238" i="2"/>
  <c r="G244" i="2"/>
  <c r="E9" i="5"/>
  <c r="G247" i="2"/>
  <c r="E10" i="5"/>
  <c r="G261" i="2"/>
  <c r="E11" i="5"/>
  <c r="E12" i="5"/>
  <c r="G312" i="2"/>
  <c r="G309" i="2"/>
  <c r="G302" i="2"/>
  <c r="G297" i="2"/>
  <c r="G315" i="2"/>
  <c r="G331" i="2"/>
  <c r="G324" i="2"/>
  <c r="G319" i="2"/>
  <c r="G333" i="2"/>
  <c r="E13" i="5"/>
  <c r="E14" i="5"/>
  <c r="G285" i="2"/>
  <c r="G280" i="2"/>
  <c r="G293" i="2"/>
  <c r="G161" i="2"/>
  <c r="G141" i="2"/>
  <c r="E15" i="5"/>
  <c r="E16" i="5"/>
  <c r="E66" i="3"/>
  <c r="E43" i="3"/>
  <c r="E52" i="3"/>
  <c r="E54" i="3"/>
  <c r="E59" i="3"/>
  <c r="E45" i="3"/>
  <c r="E28" i="3"/>
  <c r="E30" i="3"/>
  <c r="E23" i="3"/>
  <c r="E7" i="3"/>
  <c r="E16" i="3"/>
  <c r="E9" i="3"/>
  <c r="E7" i="6"/>
  <c r="E22" i="6"/>
  <c r="E17" i="6"/>
  <c r="F59" i="4"/>
  <c r="F60" i="4"/>
  <c r="F61" i="4"/>
  <c r="F64" i="4"/>
  <c r="F57" i="4"/>
  <c r="G227" i="2"/>
  <c r="F68" i="4"/>
  <c r="F66" i="4"/>
  <c r="G124" i="2"/>
  <c r="F72" i="4"/>
  <c r="F70" i="4"/>
  <c r="F55" i="4"/>
  <c r="F53" i="4"/>
  <c r="F11" i="4"/>
  <c r="F12" i="4"/>
  <c r="F13" i="4"/>
  <c r="F14" i="4"/>
  <c r="F9" i="4"/>
  <c r="F18" i="4"/>
  <c r="F19" i="4"/>
  <c r="F20" i="4"/>
  <c r="F23" i="4"/>
  <c r="F22" i="4"/>
  <c r="F24" i="4"/>
  <c r="F25" i="4"/>
  <c r="F26" i="4"/>
  <c r="F16" i="4"/>
  <c r="G114" i="2"/>
  <c r="F31" i="4"/>
  <c r="F29" i="4"/>
  <c r="F36" i="4"/>
  <c r="F37" i="4"/>
  <c r="F38" i="4"/>
  <c r="F34" i="4"/>
  <c r="G139" i="2"/>
  <c r="G163" i="2"/>
  <c r="G258" i="2"/>
  <c r="F42" i="4"/>
  <c r="F40" i="4"/>
  <c r="F46" i="4"/>
  <c r="F44" i="4"/>
  <c r="F48" i="4"/>
  <c r="F50" i="4"/>
  <c r="F7" i="4"/>
  <c r="F76" i="4"/>
  <c r="F74" i="4"/>
  <c r="F78" i="4"/>
  <c r="E59" i="4"/>
  <c r="E60" i="4"/>
  <c r="E61" i="4"/>
  <c r="E64" i="4"/>
  <c r="E57" i="4"/>
  <c r="E228" i="2"/>
  <c r="E227" i="2"/>
  <c r="E68" i="4"/>
  <c r="E66" i="4"/>
  <c r="E124" i="2"/>
  <c r="E72" i="4"/>
  <c r="E70" i="4"/>
  <c r="E55" i="4"/>
  <c r="E53" i="4"/>
  <c r="E116" i="2"/>
  <c r="E50" i="4"/>
  <c r="E11" i="4"/>
  <c r="E12" i="4"/>
  <c r="E13" i="4"/>
  <c r="E103" i="2"/>
  <c r="E14" i="4"/>
  <c r="E9" i="4"/>
  <c r="E8" i="2"/>
  <c r="E18" i="4"/>
  <c r="E35" i="2"/>
  <c r="E236" i="2"/>
  <c r="E19" i="4"/>
  <c r="E10" i="2"/>
  <c r="E42" i="2"/>
  <c r="E20" i="4"/>
  <c r="E21" i="4"/>
  <c r="E45" i="2"/>
  <c r="E238" i="2"/>
  <c r="E22" i="4"/>
  <c r="E12" i="2"/>
  <c r="E47" i="2"/>
  <c r="E23" i="4"/>
  <c r="E244" i="2"/>
  <c r="E222" i="2"/>
  <c r="E49" i="2"/>
  <c r="E15" i="2"/>
  <c r="E24" i="4"/>
  <c r="E247" i="2"/>
  <c r="E25" i="4"/>
  <c r="E18" i="2"/>
  <c r="E64" i="2"/>
  <c r="E133" i="2"/>
  <c r="E26" i="4"/>
  <c r="E16" i="4"/>
  <c r="E36" i="4"/>
  <c r="E37" i="4"/>
  <c r="E34" i="4"/>
  <c r="E168" i="2"/>
  <c r="E174" i="2"/>
  <c r="E181" i="2"/>
  <c r="E190" i="2"/>
  <c r="E199" i="2"/>
  <c r="E207" i="2"/>
  <c r="E165" i="2"/>
  <c r="E163" i="2"/>
  <c r="E139" i="2"/>
  <c r="E258" i="2"/>
  <c r="E42" i="4"/>
  <c r="E40" i="4"/>
  <c r="E67" i="2"/>
  <c r="E161" i="2"/>
  <c r="E46" i="4"/>
  <c r="E44" i="4"/>
  <c r="E48" i="4"/>
  <c r="E7" i="4"/>
  <c r="E78" i="4"/>
  <c r="G78" i="4"/>
  <c r="G72" i="4"/>
  <c r="G70" i="4"/>
  <c r="G68" i="4"/>
  <c r="G66" i="4"/>
  <c r="G60" i="4"/>
  <c r="G61" i="4"/>
  <c r="G62" i="4"/>
  <c r="G63" i="4"/>
  <c r="G64" i="4"/>
  <c r="G59" i="4"/>
  <c r="G57" i="4"/>
  <c r="G55" i="4"/>
  <c r="G53" i="4"/>
  <c r="G50" i="4"/>
  <c r="G48" i="4"/>
  <c r="G44" i="4"/>
  <c r="G42" i="4"/>
  <c r="G40" i="4"/>
  <c r="G37" i="4"/>
  <c r="G38" i="4"/>
  <c r="G36" i="4"/>
  <c r="G34" i="4"/>
  <c r="G64" i="1"/>
  <c r="G55" i="1"/>
  <c r="G53" i="1"/>
  <c r="G51" i="1"/>
  <c r="G49" i="1"/>
  <c r="G47" i="1"/>
  <c r="G30" i="1"/>
  <c r="G31" i="1"/>
  <c r="G32" i="1"/>
  <c r="G33" i="1"/>
  <c r="G34" i="1"/>
  <c r="G35" i="1"/>
  <c r="G36" i="1"/>
  <c r="G37" i="1"/>
  <c r="F38" i="1"/>
  <c r="G38" i="1"/>
  <c r="G39" i="1"/>
  <c r="G40" i="1"/>
  <c r="G41" i="1"/>
  <c r="F42" i="1"/>
  <c r="E42" i="1"/>
  <c r="G42" i="1"/>
  <c r="G43" i="1"/>
  <c r="F44" i="1"/>
  <c r="E44" i="1"/>
  <c r="G44" i="1"/>
  <c r="G45" i="1"/>
  <c r="F29" i="1"/>
  <c r="E29" i="1"/>
  <c r="G29" i="1"/>
  <c r="G20" i="1"/>
  <c r="F21" i="1"/>
  <c r="E21" i="1"/>
  <c r="G21" i="1"/>
  <c r="G22" i="1"/>
  <c r="G23" i="1"/>
  <c r="F19" i="1"/>
  <c r="E19" i="1"/>
  <c r="G19" i="1"/>
  <c r="F17" i="1"/>
  <c r="E17" i="1"/>
  <c r="G17" i="1"/>
  <c r="G9" i="1"/>
  <c r="G10" i="1"/>
  <c r="F11" i="1"/>
  <c r="E11" i="1"/>
  <c r="G11" i="1"/>
  <c r="G12" i="1"/>
  <c r="F13" i="1"/>
  <c r="E14" i="1"/>
  <c r="E13" i="1"/>
  <c r="G13" i="1"/>
  <c r="G14" i="1"/>
  <c r="G15" i="1"/>
  <c r="F8" i="1"/>
  <c r="E8" i="1"/>
  <c r="G8" i="1"/>
  <c r="F6" i="1"/>
  <c r="E6" i="1"/>
  <c r="G6" i="1"/>
  <c r="F14" i="3"/>
  <c r="F9" i="3"/>
  <c r="F7" i="3"/>
  <c r="F43" i="3"/>
  <c r="F66" i="3"/>
  <c r="G39" i="3"/>
  <c r="G276" i="2"/>
  <c r="G230" i="2"/>
  <c r="G216" i="2"/>
  <c r="G149" i="2"/>
  <c r="G119" i="2"/>
  <c r="G118" i="2"/>
  <c r="G104" i="2"/>
  <c r="G128" i="2"/>
  <c r="G94" i="2"/>
  <c r="G29" i="2"/>
  <c r="G336" i="2"/>
  <c r="D74" i="4"/>
  <c r="E74" i="4"/>
  <c r="F16" i="3"/>
  <c r="G19" i="4"/>
  <c r="G20" i="4"/>
  <c r="G21" i="4"/>
  <c r="G22" i="4"/>
  <c r="G23" i="4"/>
  <c r="G24" i="4"/>
  <c r="G25" i="4"/>
  <c r="G26" i="4"/>
  <c r="G18" i="4"/>
  <c r="G9" i="4"/>
  <c r="G12" i="4"/>
  <c r="G13" i="4"/>
  <c r="G14" i="4"/>
  <c r="G11" i="4"/>
  <c r="F49" i="1"/>
  <c r="F53" i="1"/>
  <c r="F47" i="1"/>
  <c r="F64" i="1"/>
  <c r="G337" i="2"/>
  <c r="G26" i="2"/>
  <c r="F228" i="2"/>
  <c r="F227" i="2"/>
  <c r="F223" i="2"/>
  <c r="F224" i="2"/>
  <c r="F225" i="2"/>
  <c r="F222" i="2"/>
  <c r="F230" i="2"/>
  <c r="F165" i="2"/>
  <c r="F169" i="2"/>
  <c r="F170" i="2"/>
  <c r="F171" i="2"/>
  <c r="F172" i="2"/>
  <c r="F168" i="2"/>
  <c r="F175" i="2"/>
  <c r="F176" i="2"/>
  <c r="F177" i="2"/>
  <c r="F178" i="2"/>
  <c r="F179" i="2"/>
  <c r="F174" i="2"/>
  <c r="F182" i="2"/>
  <c r="F183" i="2"/>
  <c r="F184" i="2"/>
  <c r="F185" i="2"/>
  <c r="F186" i="2"/>
  <c r="F187" i="2"/>
  <c r="F188" i="2"/>
  <c r="F181" i="2"/>
  <c r="F191" i="2"/>
  <c r="F192" i="2"/>
  <c r="F193" i="2"/>
  <c r="F194" i="2"/>
  <c r="F195" i="2"/>
  <c r="F196" i="2"/>
  <c r="F197" i="2"/>
  <c r="F190" i="2"/>
  <c r="F201" i="2"/>
  <c r="F203" i="2"/>
  <c r="F204" i="2"/>
  <c r="F205" i="2"/>
  <c r="F199" i="2"/>
  <c r="F208" i="2"/>
  <c r="F209" i="2"/>
  <c r="F210" i="2"/>
  <c r="F211" i="2"/>
  <c r="F212" i="2"/>
  <c r="F214" i="2"/>
  <c r="F207" i="2"/>
  <c r="F163" i="2"/>
  <c r="F161" i="2"/>
  <c r="F157" i="2"/>
  <c r="F155" i="2"/>
  <c r="F262" i="2"/>
  <c r="F258" i="2"/>
  <c r="F247" i="2"/>
  <c r="F244" i="2"/>
  <c r="F238" i="2"/>
  <c r="F236" i="2"/>
  <c r="F125" i="2"/>
  <c r="F124" i="2"/>
  <c r="F119" i="2"/>
  <c r="F117" i="2"/>
  <c r="F116" i="2"/>
  <c r="F108" i="2"/>
  <c r="F109" i="2"/>
  <c r="F104" i="2"/>
  <c r="F99" i="2"/>
  <c r="F128" i="2"/>
  <c r="F77" i="2"/>
  <c r="F68" i="2"/>
  <c r="F67" i="2"/>
  <c r="F64" i="2"/>
  <c r="F54" i="2"/>
  <c r="F49" i="2"/>
  <c r="F47" i="2"/>
  <c r="F45" i="2"/>
  <c r="F44" i="2"/>
  <c r="F42" i="2"/>
  <c r="F35" i="2"/>
  <c r="F94" i="2"/>
  <c r="F140" i="2"/>
  <c r="F139" i="2"/>
  <c r="F133" i="2"/>
  <c r="F149" i="2"/>
  <c r="F26" i="2"/>
  <c r="F25" i="2"/>
  <c r="F18" i="2"/>
  <c r="F15" i="2"/>
  <c r="F12" i="2"/>
  <c r="F10" i="2"/>
  <c r="F8" i="2"/>
  <c r="F29" i="2"/>
  <c r="E132" i="2"/>
  <c r="E149" i="2"/>
  <c r="E77" i="2"/>
  <c r="E99" i="2"/>
  <c r="E119" i="2"/>
  <c r="E118" i="2"/>
  <c r="D26" i="4"/>
  <c r="E261" i="2"/>
  <c r="E84" i="2"/>
  <c r="E29" i="4"/>
  <c r="E235" i="2"/>
  <c r="E276" i="2"/>
  <c r="E230" i="2"/>
  <c r="E155" i="2"/>
  <c r="E157" i="2"/>
  <c r="E154" i="2"/>
  <c r="E216" i="2"/>
  <c r="E104" i="2"/>
  <c r="E98" i="2"/>
  <c r="E128" i="2"/>
  <c r="E89" i="2"/>
  <c r="E88" i="2"/>
  <c r="E80" i="2"/>
  <c r="E79" i="2"/>
  <c r="E34" i="2"/>
  <c r="E94" i="2"/>
  <c r="E26" i="2"/>
  <c r="E7" i="2"/>
  <c r="E29" i="2"/>
  <c r="E336" i="2"/>
  <c r="E59" i="1"/>
  <c r="E57" i="1"/>
  <c r="E51" i="1"/>
  <c r="E49" i="1"/>
  <c r="E53" i="1"/>
  <c r="E47" i="1"/>
  <c r="E64" i="1"/>
  <c r="D19" i="1"/>
  <c r="D29" i="1"/>
  <c r="D42" i="1"/>
  <c r="D21" i="1"/>
  <c r="D44" i="1"/>
  <c r="D17" i="1"/>
  <c r="D8" i="1"/>
  <c r="D11" i="1"/>
  <c r="D6" i="1"/>
  <c r="D59" i="1"/>
  <c r="D57" i="1"/>
  <c r="D49" i="1"/>
  <c r="D53" i="1"/>
  <c r="D47" i="1"/>
  <c r="D64" i="1"/>
  <c r="D13" i="1"/>
  <c r="D16" i="4"/>
  <c r="D34" i="4"/>
  <c r="D35" i="3"/>
  <c r="D40" i="4"/>
  <c r="D44" i="4"/>
  <c r="D37" i="3"/>
  <c r="D30" i="3"/>
  <c r="D28" i="3"/>
  <c r="D57" i="4"/>
  <c r="D66" i="4"/>
  <c r="D70" i="4"/>
  <c r="D55" i="4"/>
  <c r="D9" i="4"/>
  <c r="D29" i="4"/>
  <c r="D7" i="4"/>
  <c r="D78" i="4"/>
  <c r="D48" i="3"/>
  <c r="E23" i="5"/>
  <c r="E22" i="5"/>
  <c r="E24" i="5"/>
  <c r="D24" i="5"/>
  <c r="G32" i="3"/>
  <c r="G35" i="3"/>
  <c r="G36" i="3"/>
  <c r="G37" i="3"/>
  <c r="G38" i="3"/>
  <c r="G41" i="3"/>
  <c r="G48" i="3"/>
  <c r="F59" i="3"/>
  <c r="F54" i="3"/>
  <c r="F52" i="3"/>
  <c r="F45" i="3"/>
  <c r="F30" i="3"/>
  <c r="F28" i="3"/>
  <c r="G25" i="3"/>
  <c r="G26" i="3"/>
  <c r="F23" i="3"/>
  <c r="G20" i="3"/>
  <c r="G18" i="3"/>
  <c r="G12" i="3"/>
  <c r="G13" i="3"/>
  <c r="G14" i="3"/>
  <c r="G11" i="3"/>
  <c r="F50" i="3"/>
  <c r="F17" i="6"/>
  <c r="D17" i="6"/>
  <c r="F9" i="6"/>
  <c r="E9" i="6"/>
  <c r="D9" i="6"/>
  <c r="D59" i="3"/>
  <c r="D54" i="3"/>
  <c r="D45" i="3"/>
  <c r="G45" i="3"/>
  <c r="G33" i="3"/>
  <c r="D23" i="3"/>
  <c r="G23" i="3"/>
  <c r="G19" i="3"/>
  <c r="D16" i="3"/>
  <c r="G16" i="3"/>
  <c r="D9" i="3"/>
  <c r="G9" i="3"/>
  <c r="D7" i="3"/>
  <c r="G7" i="3"/>
  <c r="G30" i="3"/>
  <c r="G28" i="3"/>
  <c r="D43" i="3"/>
  <c r="D50" i="3"/>
  <c r="G43" i="3"/>
  <c r="D66" i="3"/>
</calcChain>
</file>

<file path=xl/sharedStrings.xml><?xml version="1.0" encoding="utf-8"?>
<sst xmlns="http://schemas.openxmlformats.org/spreadsheetml/2006/main" count="520" uniqueCount="403">
  <si>
    <t>Економски код</t>
  </si>
  <si>
    <t>ОПИС</t>
  </si>
  <si>
    <t>ПОРЕСКИ ПРИХОДИ</t>
  </si>
  <si>
    <t xml:space="preserve"> </t>
  </si>
  <si>
    <t>Порези на лична примања и приходе од самосталне дјелатности</t>
  </si>
  <si>
    <t>Порез на приходе од самосталне дјелатности</t>
  </si>
  <si>
    <t>Порез на лична примања</t>
  </si>
  <si>
    <t>Порез на имовину</t>
  </si>
  <si>
    <t>Порез на непокретности</t>
  </si>
  <si>
    <t>Индиректни порези</t>
  </si>
  <si>
    <t>Индиректни порези дозначени од Управе за индиректно опорезивање</t>
  </si>
  <si>
    <t>Остали порески приходи</t>
  </si>
  <si>
    <t>НЕПОРЕСКИ ПРИХОДИ</t>
  </si>
  <si>
    <t>Приходи од имовине</t>
  </si>
  <si>
    <t>Приходи од давања у закуп пословних објеката</t>
  </si>
  <si>
    <t>Накнаде, таксе и приходи од пружања јавних услуга</t>
  </si>
  <si>
    <t>Административне општинске таксе</t>
  </si>
  <si>
    <t>Комуналне накнаде и таксе</t>
  </si>
  <si>
    <t xml:space="preserve">Комунална такса на фирму </t>
  </si>
  <si>
    <t>Комунална такса на држање животиња</t>
  </si>
  <si>
    <t>Комунална такса за кориштење простора на јавним површинама</t>
  </si>
  <si>
    <t>Комнална такса за кориштење рекламних паноа</t>
  </si>
  <si>
    <t>Боравишна такса</t>
  </si>
  <si>
    <t>Накнаде по разним основама</t>
  </si>
  <si>
    <t>Накнада за уређење грађевинског земљишта</t>
  </si>
  <si>
    <t>Накнада за кориштење грађевинског земљишта</t>
  </si>
  <si>
    <t>Накнада за воде за индустријске процесе укључујући и термоелектране</t>
  </si>
  <si>
    <t>Накнаде за промјену намјене пољопривредног земљишта</t>
  </si>
  <si>
    <t>Накнада за шуме</t>
  </si>
  <si>
    <t>Накнада за воде</t>
  </si>
  <si>
    <t>Накнада за кориштење комуналних добара</t>
  </si>
  <si>
    <t>Средства за финансирање посебних мјера заштите од пожара</t>
  </si>
  <si>
    <t>Накнада за извађени материјал из водотокова</t>
  </si>
  <si>
    <t>Накнда за кориштење минералних сировина</t>
  </si>
  <si>
    <t>Концесиона накнада од продаје електричне енергије</t>
  </si>
  <si>
    <t>Приходи од пружања јавних услуга</t>
  </si>
  <si>
    <t>Приходи општинских органа управе</t>
  </si>
  <si>
    <t>Новчане казне</t>
  </si>
  <si>
    <t xml:space="preserve">Општинске новчане казне </t>
  </si>
  <si>
    <t>ГРАНТОВИ И ТРАНСФЕРИ</t>
  </si>
  <si>
    <t>ГРАНТОВИ</t>
  </si>
  <si>
    <t>Грантови за подршку пројектима</t>
  </si>
  <si>
    <t>ТРАНСФЕРИ</t>
  </si>
  <si>
    <t>Трансфер Министарства здравља и социјалне заштите за финансирање обавезних права штићеника социјалне заштите</t>
  </si>
  <si>
    <t>ПРИМИЦИ ЗА НЕФИНАНСИЈСКУ ИМОВИНУ</t>
  </si>
  <si>
    <t>Примициц за непроизведену сталну имовину</t>
  </si>
  <si>
    <t>УКУПНО БУЏЕТСКИ ПРИХОДИ</t>
  </si>
  <si>
    <t>Разлика</t>
  </si>
  <si>
    <t>НАЗИВ ПОТРОШАЧКЕ ЈЕДИНИЦЕ: СКУПШТИНА ОПШТИНЕ</t>
  </si>
  <si>
    <t>Број потрошачке јединице: 0138110</t>
  </si>
  <si>
    <t>Текући расходи</t>
  </si>
  <si>
    <t>Расходи по основу закупа</t>
  </si>
  <si>
    <t>Расходи за стручну литературу и часописе</t>
  </si>
  <si>
    <t>претплата за службени гласник РС (шест лиценци)</t>
  </si>
  <si>
    <t>Расходи по основу путовања и смјештаја</t>
  </si>
  <si>
    <t>у земљи</t>
  </si>
  <si>
    <t>у иностранству</t>
  </si>
  <si>
    <t>Стручне услуге</t>
  </si>
  <si>
    <t>услуге штампања Службеног гласника општине Станари</t>
  </si>
  <si>
    <t>остале стручне услуге</t>
  </si>
  <si>
    <t>Остали расходи</t>
  </si>
  <si>
    <t>накнаде скупштинским одборницима</t>
  </si>
  <si>
    <t>организовање манифестација, пријема и сл.</t>
  </si>
  <si>
    <t>репрезентација у земљи</t>
  </si>
  <si>
    <t>репрезентација у иностранству</t>
  </si>
  <si>
    <t>расходи за израду медаља, плакета и сл. Приликом додјеле општинских признања</t>
  </si>
  <si>
    <t>остале непоменути расходи</t>
  </si>
  <si>
    <t>Издаци за набавку нефинансијске имовине</t>
  </si>
  <si>
    <t>Издаци за набавку комуникационе опреме</t>
  </si>
  <si>
    <t>опрема и озвучење за сједнице Скупштине</t>
  </si>
  <si>
    <t>УКУПНО</t>
  </si>
  <si>
    <t>НАЗИВ ПОТРОШАЧКЕ ЈЕДИНИЦЕ: ОПШТА УПРАВА</t>
  </si>
  <si>
    <t>Број потрошачке јединице: 0138130</t>
  </si>
  <si>
    <t>Расходи по основу утрошка енергије, комунални и комуникаионих услуга</t>
  </si>
  <si>
    <t>електрична енергија</t>
  </si>
  <si>
    <t>утрошка угља</t>
  </si>
  <si>
    <t>услуге водовода и канализације</t>
  </si>
  <si>
    <t>трошак за комуникационе услуге</t>
  </si>
  <si>
    <t>поштанске услуге</t>
  </si>
  <si>
    <t>Режијски материјал</t>
  </si>
  <si>
    <t>материјал за одржавање чистоће</t>
  </si>
  <si>
    <t>расходи за тручну литературу и часописе</t>
  </si>
  <si>
    <t>Расходи за стручне услуге</t>
  </si>
  <si>
    <t>осигурање возила</t>
  </si>
  <si>
    <t>осигурање запослених</t>
  </si>
  <si>
    <t>услуге објављивања тендера, огласа и информативних текстова</t>
  </si>
  <si>
    <t>услуге објављивања законских и подзаконских аката</t>
  </si>
  <si>
    <t>општинске свечаности, медијске презентације,информисања</t>
  </si>
  <si>
    <t>Расходи за адвокатске услуге</t>
  </si>
  <si>
    <t>Расходи за услуге нотара</t>
  </si>
  <si>
    <t>Расходи за услуге превођења</t>
  </si>
  <si>
    <t>Расходи за услуге овјере и верификације</t>
  </si>
  <si>
    <t>остале правне и административне услуге</t>
  </si>
  <si>
    <t>процјенитељске услуге</t>
  </si>
  <si>
    <t>услуге вјештачења</t>
  </si>
  <si>
    <t>савјетодавне услуге</t>
  </si>
  <si>
    <t>Расходи по судским рјешењима</t>
  </si>
  <si>
    <t>СОЦИЈАЛНА ЗАШТИТА</t>
  </si>
  <si>
    <t>текуће дознаке корисницима социјалне заштите које се исплаћују од стране установе социјалне заштите (праава која остварују корисници права соијалне заштите ,а која се дијелом финансирају из буџета, а дијелом из Министарства)</t>
  </si>
  <si>
    <t>помоћ породицама палих бораца, ратних војних инвалида и цивилних жртава рата и борцима</t>
  </si>
  <si>
    <t>помоћ при заснивању породице</t>
  </si>
  <si>
    <t>помоћ избјеглим и расељеним лицима</t>
  </si>
  <si>
    <t>помоћ породици, дјеци и младима</t>
  </si>
  <si>
    <t>помоћ пензионерима и незапосленим лицима</t>
  </si>
  <si>
    <t>помоћ грађанима у натури</t>
  </si>
  <si>
    <t>остале текуће дознаке на име социјалне заштите које се исплаћују из буџета општине</t>
  </si>
  <si>
    <t>Издаци за нефинансијску имовину</t>
  </si>
  <si>
    <t>ВАТРОГАСНА ЈЕДИНИЦА</t>
  </si>
  <si>
    <t>Расходи по основу кориштења роба и услуга</t>
  </si>
  <si>
    <t>Обука кадрова</t>
  </si>
  <si>
    <t>бруто накнаде ван радног односа (уговори о дјелу, уговори о привременим и повременим пословима и сл)</t>
  </si>
  <si>
    <t>Издаци за набавку постројења и опреме</t>
  </si>
  <si>
    <t>набавка професионалне ватрогасне опреме</t>
  </si>
  <si>
    <t>ЦИВИЛНА ЗАШТИТА</t>
  </si>
  <si>
    <t>Расходи по основу посебних намјена</t>
  </si>
  <si>
    <t>НАЗИВ ПОТРОШАЧКЕ ЈЕДИНИЦЕ: ОДЈЕЉЕЊЕ ЗА ФИНАНСИЈЕ И БУЏЕТ</t>
  </si>
  <si>
    <t>Број потрошачке јединице: 0138140</t>
  </si>
  <si>
    <t>Расходи за бруто плате и накнаде</t>
  </si>
  <si>
    <t>Бруто плата</t>
  </si>
  <si>
    <t>Бруто накнаде плата и осталих личних примања запослених</t>
  </si>
  <si>
    <t xml:space="preserve">закуп пословног објекта </t>
  </si>
  <si>
    <t>претплата на стручни часопис Финрар (двије лиценце)</t>
  </si>
  <si>
    <t>текуће одржавање трезорских лиценци</t>
  </si>
  <si>
    <t>услуге финансијског посредовања, исплата поштама, штампања и сл.</t>
  </si>
  <si>
    <t>бруто накнаде за рад волонтера</t>
  </si>
  <si>
    <t>бруто накнаде за рад комисија</t>
  </si>
  <si>
    <t>бруто накнаде за уговоре о дјелу</t>
  </si>
  <si>
    <t>остали расходи</t>
  </si>
  <si>
    <t>НАБАВКА ПОСТРОЈЕЊА И ОПРЕМЕ</t>
  </si>
  <si>
    <t>канцеларијски намјештај</t>
  </si>
  <si>
    <t>рачунарска опрема</t>
  </si>
  <si>
    <t>рачунарски програми (MS Office, Windows, Kaspersky, Adobe)</t>
  </si>
  <si>
    <t>рачунарска мрежна опрема</t>
  </si>
  <si>
    <t>ИЗДАЦИ ЗА ЗАЛИХЕ МАТЕРИЈАЛА, РОБЕ, СИТНОГ ИНВ. И СЛ.</t>
  </si>
  <si>
    <t>Ауто гуме, одјећа, обућа и остали ситан инвентар</t>
  </si>
  <si>
    <t>НАЗИВ ПОТРОШАЧКЕ ЈЕДИНИЦЕ: НАЧЕЛНИК ОПШТИНЕ</t>
  </si>
  <si>
    <t>Број потрошачке јединице: 0138120</t>
  </si>
  <si>
    <t>Репрезентација у земљи и иностранству</t>
  </si>
  <si>
    <t>Стручни испити запослених, едукације, курсеви и сл.</t>
  </si>
  <si>
    <t>Грантови</t>
  </si>
  <si>
    <t>Спонзорство (културне и спортске манифестације)</t>
  </si>
  <si>
    <t>*******</t>
  </si>
  <si>
    <t>БУЏЕТСКА РЕЗЕРВА</t>
  </si>
  <si>
    <t>НАЗИВ ПОТРОШАЧКЕ ЈЕДИНИЦЕ: ОДЈЕЉЕЊЕ ЗА ПРИВРЕДУ, ДРУШТВЕНЕ ДЈЕАЛТНОСТИ И ЛОКАЛНИ ЕКОНОМСКИ РАЗВОЈ</t>
  </si>
  <si>
    <t>Број потрошачке јединице: 0138150</t>
  </si>
  <si>
    <t>Текући трошкови</t>
  </si>
  <si>
    <t>Расходи за финансирање услуга ЈОДП ''Противградна заштита'' Републике Српске и хидрометеорлошке службе</t>
  </si>
  <si>
    <t>Субвенције</t>
  </si>
  <si>
    <t>финансирање запошљавања и самозапошљавања</t>
  </si>
  <si>
    <t>Дознаке на име социјалне заштите</t>
  </si>
  <si>
    <t>Стипендије ђацима, ученицима и студентима</t>
  </si>
  <si>
    <t>СД Рудар Станари</t>
  </si>
  <si>
    <t>Удружење логораша</t>
  </si>
  <si>
    <t>НАЗИВ ПОТРОШАЧКЕ ЈЕДИНИЦЕ: СЛУЖБА ЗА ПРОСТОРНО УРЕЂЕЊЕ</t>
  </si>
  <si>
    <t>Број потрошачке јединице: 0138170</t>
  </si>
  <si>
    <t>геодетско - катастарске услуге</t>
  </si>
  <si>
    <t>израда елабората и студија</t>
  </si>
  <si>
    <t>експропријација земљишта</t>
  </si>
  <si>
    <t xml:space="preserve">НАЗИВ ПОТРОШАЧКЕ ЈЕДИНИЦЕ: Одјељење за стамбено комуналне и инспекијске послове </t>
  </si>
  <si>
    <t>Број потрошачке јединице: 0138160</t>
  </si>
  <si>
    <t>Текуће одржавање</t>
  </si>
  <si>
    <t>санација локалних путева - клизишта</t>
  </si>
  <si>
    <t>Послови безбједности саобраћаја</t>
  </si>
  <si>
    <t>Одржавање и заштита животне средине</t>
  </si>
  <si>
    <t>услуге одржавања зелених површина (кошење траве и амброзије и уређење дивљих депонија)</t>
  </si>
  <si>
    <t>услуге зимске службе</t>
  </si>
  <si>
    <t>чишћење јавних површина (тротоари, путеви, наноси блата)</t>
  </si>
  <si>
    <t>јавна расвјета (утрошак електричне енергије)</t>
  </si>
  <si>
    <t>одвођење атмосферских падавина и других вода са јавних површина</t>
  </si>
  <si>
    <t>дјелатност зоо хигијене (пси луталице и друге животњске штеточине)</t>
  </si>
  <si>
    <t>одржавање и модеризација објеката зкп</t>
  </si>
  <si>
    <t xml:space="preserve">Остали расходи </t>
  </si>
  <si>
    <t>Капитални грант - помоћ заједницама етажних власника</t>
  </si>
  <si>
    <t>Изградња рециклажног дворишта</t>
  </si>
  <si>
    <t>саобраћајни знакови</t>
  </si>
  <si>
    <t>СВЕУКУПНО</t>
  </si>
  <si>
    <t>Примици за општинско земљиште</t>
  </si>
  <si>
    <t>набавка ватрогасне униформе и остале опреме</t>
  </si>
  <si>
    <t>Правне услуге</t>
  </si>
  <si>
    <t>финанисрање преквлаификације радника и образовња одраслих</t>
  </si>
  <si>
    <t>УДРУЖЕЊА ОД ПОСЕБНОХ ИНТЕРЕСА</t>
  </si>
  <si>
    <t>Општинска борачка организција</t>
  </si>
  <si>
    <t xml:space="preserve">Организација породица заробљених и погинулих бораца и несталих цивила </t>
  </si>
  <si>
    <t>Ветерани РС</t>
  </si>
  <si>
    <t>СПОРТСКИ КЛУБОВИ</t>
  </si>
  <si>
    <t>Клуб борилачких спортова Рудар</t>
  </si>
  <si>
    <t>ТКД Рудар Станари</t>
  </si>
  <si>
    <t>Карате клуб Слога Добој - секција Станари</t>
  </si>
  <si>
    <t>ОРГАНИЗАЦИЈЕ У ОБАЛСТИ КУЛТУРЕ И ТРАДИЦИЈЕ</t>
  </si>
  <si>
    <t>КУД Лазарица</t>
  </si>
  <si>
    <t>КУД Церовица</t>
  </si>
  <si>
    <t>ЗУ Младост Брестово</t>
  </si>
  <si>
    <t>ОСТАЛЕ НЕВЛАДИНЕ ОРГАНИЗАЦИЈЕ</t>
  </si>
  <si>
    <t>'Пољопривредник'' Станари</t>
  </si>
  <si>
    <t>ЛУ Срндаћ Станари</t>
  </si>
  <si>
    <t>СРД Шкобаљ Станари</t>
  </si>
  <si>
    <t>НОР</t>
  </si>
  <si>
    <t>Удружење пензионера</t>
  </si>
  <si>
    <t>КАПИТАЛНИ ГРАНТОВИ ЈАВНИМ УСТАНОВАМА</t>
  </si>
  <si>
    <t>ЦРКВЕНЕ ОПШТИНЕ</t>
  </si>
  <si>
    <t>Станари</t>
  </si>
  <si>
    <t>Јелањска</t>
  </si>
  <si>
    <t>Осредак</t>
  </si>
  <si>
    <t>Церовица</t>
  </si>
  <si>
    <t>Радања Доња</t>
  </si>
  <si>
    <t>Брестово</t>
  </si>
  <si>
    <t xml:space="preserve">Екосфера </t>
  </si>
  <si>
    <t>ЈУ Спортско-туристичка организација</t>
  </si>
  <si>
    <t>ЈЗУ Дом здравља Станари</t>
  </si>
  <si>
    <t>ЈУ Центар за културу</t>
  </si>
  <si>
    <t>ОШ Десанка Максимовић</t>
  </si>
  <si>
    <t>Полицијска станица Станари</t>
  </si>
  <si>
    <t>Изградња спомен храма у Станарима</t>
  </si>
  <si>
    <t>Адаптација објеката за рад Мјесних заједница</t>
  </si>
  <si>
    <t>Техничка рјешења (издавање УТ услова, идјени пројекти, стручни надзор и и сл.)</t>
  </si>
  <si>
    <t>расходи за текуће одржавање зграда у власништву општине Станари</t>
  </si>
  <si>
    <t>оджавање споменика (културни, историјиски, споменици борачких категорија)</t>
  </si>
  <si>
    <t>одржавање јавних површина (одржавање гробља, санација постојећих канализационих сливника)</t>
  </si>
  <si>
    <t>Асфалтирање и модернизација путева</t>
  </si>
  <si>
    <t xml:space="preserve">остало текуће одржавање </t>
  </si>
  <si>
    <t>Капитални грантови</t>
  </si>
  <si>
    <t>Учешће у изградњи регионалног пута Р474 (дионица кроз општину Станари)</t>
  </si>
  <si>
    <t>одрржавање и уређење водотокова (корите ријека Остружња,Укрина, Радња, Илова....)</t>
  </si>
  <si>
    <t>одржавање локалних путева - насипање (одржавање путева, мостова, сигнализације и сл)</t>
  </si>
  <si>
    <t xml:space="preserve">Санација локалних саобраћајница - ударне рупе </t>
  </si>
  <si>
    <t>Израда локалног еколоког плана (ЛЕАП)</t>
  </si>
  <si>
    <t>Расходи за комуналне услуге</t>
  </si>
  <si>
    <t>Дератизација и дезинскеција</t>
  </si>
  <si>
    <t>Канцеларијски материјал</t>
  </si>
  <si>
    <t>Одржавање канцеларијске и друге опреме</t>
  </si>
  <si>
    <t>Утрошак горива</t>
  </si>
  <si>
    <t>Утроша горива за потребе службених возила</t>
  </si>
  <si>
    <t>финансирање партиципације здравственим осигураницицма са подручија општине Станари</t>
  </si>
  <si>
    <t>Клуб мажореткиња / sekcija Stanari</t>
  </si>
  <si>
    <t>Изградња обданишта</t>
  </si>
  <si>
    <t>ПОЛИТИЧКЕ ОРГАНИЗАЦИЈЕ</t>
  </si>
  <si>
    <t>Политичке организације</t>
  </si>
  <si>
    <t>Изградња вишенамјенског друштвеног објекта - спорткса сала</t>
  </si>
  <si>
    <t>Удружење ''Анђео'' Станри</t>
  </si>
  <si>
    <t>Индекс (5/3)*100</t>
  </si>
  <si>
    <t>БУЏЕТСКИ ПРИХОДИ</t>
  </si>
  <si>
    <t>Остали непорески приходи</t>
  </si>
  <si>
    <t>БУЏЕТСКИ РАСХОДИ</t>
  </si>
  <si>
    <t>ТЕКУЋИ РАСХОДИ</t>
  </si>
  <si>
    <t>Расходи за лична примања</t>
  </si>
  <si>
    <t xml:space="preserve">Расходи финансирања и други финансијски трошкови </t>
  </si>
  <si>
    <t>******</t>
  </si>
  <si>
    <t>БУЏЕТСКА  РЕЗЕРВА</t>
  </si>
  <si>
    <t>БРУТО БУЏЕТСКИ СУФИЦИТ/ДЕФИЦИТ</t>
  </si>
  <si>
    <t>НЕТО ИЗДАЦИ ЗА НЕФИНАНСИЈСКУ ИМОВИНУ</t>
  </si>
  <si>
    <t>Примици за нефинансијску имовину</t>
  </si>
  <si>
    <t>Издаци за нефинансијску имовини</t>
  </si>
  <si>
    <t>БУЏЕТСКИ СУФИЦИТ/ДЕФИЦИТ</t>
  </si>
  <si>
    <t>НЕТО ФИНАНСИРАЊЕ</t>
  </si>
  <si>
    <t>НЕТО ПРИМИЦИ ОД ФИНАНСИЈСКЕ ИМОВИНЕ</t>
  </si>
  <si>
    <t>Примици од финансијске имовине</t>
  </si>
  <si>
    <t>Издаци за финансијску имовину</t>
  </si>
  <si>
    <t>НЕТО ЗАДУЖИВАЊЕ</t>
  </si>
  <si>
    <t>Примици од задуживања</t>
  </si>
  <si>
    <t>Издаци за отплату дугова</t>
  </si>
  <si>
    <t>РАСПОРЕЂИВАЊЕ БУЏЕТСКОГ СУФИЦИТА</t>
  </si>
  <si>
    <t>РАЗЛИКА У ФИНАНСИРАЊУ</t>
  </si>
  <si>
    <t>РАСХОДИ ЗА ЛИЧНА ПРИМАЊА</t>
  </si>
  <si>
    <t>Расходи за бруто плате</t>
  </si>
  <si>
    <t>Бруто накнаде трошкова</t>
  </si>
  <si>
    <t>РАСХОДИ ПО ОСНОВУ КОРИШТЕЊЕ РОБА И УСЛУГА</t>
  </si>
  <si>
    <t>Расходи по основу утрошка енергије, комуналних, комуникационих услуга</t>
  </si>
  <si>
    <t>Расходи за режијски материјал</t>
  </si>
  <si>
    <t>Расходи за посебне намјене</t>
  </si>
  <si>
    <t>Расходи за текуће одржавање</t>
  </si>
  <si>
    <t>Расходи за услуге одржавања јавних површина</t>
  </si>
  <si>
    <t>РАСХОДИ ФИНАНСИРАЊА И ДРУГИ ФИНАНСИЈСКИ ТРОШКОВИ</t>
  </si>
  <si>
    <t>Расходи по основу камата на примљене зајмове у земљи</t>
  </si>
  <si>
    <t>Расходи по основу затезних камата</t>
  </si>
  <si>
    <t>СУБВЕНЦИЈЕ</t>
  </si>
  <si>
    <t>Субвенције у области пољопривреде</t>
  </si>
  <si>
    <t>Субвенције за запошљавање и самозапошљавање</t>
  </si>
  <si>
    <t xml:space="preserve">ГРАНТОВИ </t>
  </si>
  <si>
    <t>Грантови у земљи</t>
  </si>
  <si>
    <t>ДОЗНАКЕ НА ИМЕ СОЦИЈАНЕ ЗАШТИТЕ</t>
  </si>
  <si>
    <t xml:space="preserve">Дознаке грађанима које се исплаћују из буџета општине </t>
  </si>
  <si>
    <t>РАСХОДИ ПО СУДСКИМ РЈЕШЕЊИМА</t>
  </si>
  <si>
    <t>*****</t>
  </si>
  <si>
    <t>ИЗДАЦИ ЗА НЕФИНАНСИЈСКУ ИМОВИНУ</t>
  </si>
  <si>
    <t>ИЗДАЦИ ЗА НЕПРОИЗВЕДЕНУ СТАЛНУ ИМОВИНУ</t>
  </si>
  <si>
    <t>Издаци за изградњу и прибављање зграда и објеката</t>
  </si>
  <si>
    <t>Издаци за инвестиционо одржавање реконструкцију и адаптацију зграда и објеката</t>
  </si>
  <si>
    <t>Издаци за инвестиционо одржавање опреме</t>
  </si>
  <si>
    <t>Издаци за биолошку имовину</t>
  </si>
  <si>
    <t>Издаци за нематеријалну произведену имовину</t>
  </si>
  <si>
    <t>ИЗДАЦИ ЗА ПРОИЗВЕДЕНУ СТАЛНУ ИМОВИНУ</t>
  </si>
  <si>
    <t>Издаци за прибављање земљишта</t>
  </si>
  <si>
    <t>Ситан инвентар, ауто гуме, унифоме и сл.</t>
  </si>
  <si>
    <r>
      <rPr>
        <b/>
        <sz val="8"/>
        <color indexed="8"/>
        <rFont val="Arial"/>
        <family val="2"/>
      </rPr>
      <t>О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П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И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С</t>
    </r>
  </si>
  <si>
    <t>O1</t>
  </si>
  <si>
    <t>ОПШТЕ ЈАВНЕ УСЛУГЕ</t>
  </si>
  <si>
    <t>O2</t>
  </si>
  <si>
    <t>ОДБРАНА</t>
  </si>
  <si>
    <t>O3</t>
  </si>
  <si>
    <t>ЈАВНИ РЕД И СИГУРНОСТ</t>
  </si>
  <si>
    <t>O4</t>
  </si>
  <si>
    <t>ЕКОНОМСКИ ПОСЛОВИ</t>
  </si>
  <si>
    <t>ЗАШТИТА ЖИВОТНЕ СРЕДИНЕ</t>
  </si>
  <si>
    <t>O6</t>
  </si>
  <si>
    <t>СТАМБЕНИ И ЗАЈЕДНИЧКИ ПОСЛОВИ</t>
  </si>
  <si>
    <t>О7</t>
  </si>
  <si>
    <t>ЗДРАВСТВО</t>
  </si>
  <si>
    <t>О8</t>
  </si>
  <si>
    <t>РЕКРЕАЦИЈА , КУЛТУРА И РЕЛИГИЈА</t>
  </si>
  <si>
    <t>О9</t>
  </si>
  <si>
    <t>ОБРАЗОВАЊЕ</t>
  </si>
  <si>
    <t>СВЕГА БУЏЕТСКИ РАСХОДИ - БУЏЕТСКА ПОТРОШЊА</t>
  </si>
  <si>
    <t>ФИНАНСИРАЊЕ</t>
  </si>
  <si>
    <t>НЕТО ПРИМИЦИ ОД ФИНАНСИЈСКЕ ИМОВИНЕ И ЗАДУЖИВАЊА</t>
  </si>
  <si>
    <t>ПРИМИЦИ ОД ФИНАНСИЈСКЕ ИМОВИНЕ</t>
  </si>
  <si>
    <t>Примици од наплате датих зајмова</t>
  </si>
  <si>
    <t>ИЗДАЦИ ЗА ФИНАНСИЈСКУ ИМОВИНУ</t>
  </si>
  <si>
    <t>Издаци за дате зајмове</t>
  </si>
  <si>
    <t>ПРИМИЦИ ОД ЗАДУЖИВАЊА</t>
  </si>
  <si>
    <t>Примици од узетих зајмови</t>
  </si>
  <si>
    <t>ИЗДАЦИ ЗА ОТПЛАТУ ДУГОВА</t>
  </si>
  <si>
    <t>Издаци за отплату обавеза из ранијих периода</t>
  </si>
  <si>
    <t>Изградња парка ''Радости'' - завршна фаза</t>
  </si>
  <si>
    <t>Трансфери између и унутар јединица власти</t>
  </si>
  <si>
    <t>Трансфери између различитих јеиница власти</t>
  </si>
  <si>
    <t>Трансакције између и унутар јединица власти</t>
  </si>
  <si>
    <t>Табела 1</t>
  </si>
  <si>
    <t>Приједлог буџета 2018</t>
  </si>
  <si>
    <t>Табела 2</t>
  </si>
  <si>
    <t>Функц.
код</t>
  </si>
  <si>
    <t>Функција</t>
  </si>
  <si>
    <t>ЗУ</t>
  </si>
  <si>
    <t>Заједничке услуге</t>
  </si>
  <si>
    <t>ИУ</t>
  </si>
  <si>
    <t>Индивидуалне услуге</t>
  </si>
  <si>
    <t xml:space="preserve">УКУПНО </t>
  </si>
  <si>
    <t>Удружење Хармоникаша</t>
  </si>
  <si>
    <t>ОО Црвени Крст</t>
  </si>
  <si>
    <t>остале комуналне таксе и услуге - одвоз сдмећа</t>
  </si>
  <si>
    <t>изградња гараже за ватрогасна возила</t>
  </si>
  <si>
    <t>израда регулационог плана ''Копови''</t>
  </si>
  <si>
    <t>Изградња улице у насељу Станари према старој цркви</t>
  </si>
  <si>
    <t>закуп опреме за озвучење за заједање Скупштине и организовање других манифестација у току 2018. године</t>
  </si>
  <si>
    <t>рад општинске изборне комисије</t>
  </si>
  <si>
    <t>Изградња административног центра</t>
  </si>
  <si>
    <t>Буџет за 2018. годину</t>
  </si>
  <si>
    <t>O5</t>
  </si>
  <si>
    <t>Удружење ''Соко'' Митровићи</t>
  </si>
  <si>
    <t>Удружење ''Моја Радња'' Доња Радња</t>
  </si>
  <si>
    <t>Удружење ''Опстанак'' Рашковци</t>
  </si>
  <si>
    <t>Концесиона накнада од производње електричне енергије</t>
  </si>
  <si>
    <t>Приједлог буџета 2019</t>
  </si>
  <si>
    <t>Приједлог Буџета за 2019. годину</t>
  </si>
  <si>
    <t>Приједлог Буџета 2019</t>
  </si>
  <si>
    <t>Расходи за накнаду плата запослених за вријеме боловања (бруто)</t>
  </si>
  <si>
    <t>Расходи за отпремнине и једократне новчане помоћи (бруто)</t>
  </si>
  <si>
    <t>Расходи за накнаду плата запослених за вријеме боловања</t>
  </si>
  <si>
    <t>Расходи за отпремнинне</t>
  </si>
  <si>
    <t>ЈУ Народна библиотека Станари</t>
  </si>
  <si>
    <t>Извршење</t>
  </si>
  <si>
    <t>Расходи по основу организаовања манифестација</t>
  </si>
  <si>
    <t>Изградња и адаптација осталих објеката</t>
  </si>
  <si>
    <t>Нацрт буџета 2020</t>
  </si>
  <si>
    <t>Таксе, накнаде, котизације, репрезентација</t>
  </si>
  <si>
    <t>Издаци за отплату зајмова примљених од банака</t>
  </si>
  <si>
    <t>финансирање подстицаја пољопривредне производње</t>
  </si>
  <si>
    <t>Број потрошачке јединице:</t>
  </si>
  <si>
    <t>НАЗИВ ПОТРОШАЧКЕ ЈЕДИНИЦЕ: ЈУ ЦЕНТАР ЗА СОЦИЈАЛНИ РАД</t>
  </si>
  <si>
    <t>Расходи за бруто плате (основна плата  порези и доприноси)</t>
  </si>
  <si>
    <t>Расходи за бруто накнаде плата и других личних примања запослених</t>
  </si>
  <si>
    <t>Расходи по основу утрошка енергије, комуналних, комуникационих услуга (струја, вода, гријање, одвоз смећа, телефон, интернет)</t>
  </si>
  <si>
    <t>Расходи за режијски материјал (канцеларијски материјал, материјал за одржавање чистоће, стручна литература)</t>
  </si>
  <si>
    <t>Расходи за услуге путовања и смјештаја (утрошак горива, путовање и смјештај у земљи)</t>
  </si>
  <si>
    <t>Расходи за стручне услуге (услуге штампања, објављивањ огласа, рекламног материјала)</t>
  </si>
  <si>
    <t>Остали расходи (стручно усавршавње запослених, бруто накнаде за рад комисија, расходи за репрезенатцију)</t>
  </si>
  <si>
    <t>НАЗИВ ПОТРОШАЧКЕ ЈЕДИНИЦЕ: ЈУ СПОРТСКО ТУРИСТИЧКА ОРГАНИЗАЦИЈА</t>
  </si>
  <si>
    <t>Организација турнира у малом фудбалу</t>
  </si>
  <si>
    <t>Остале манифестације</t>
  </si>
  <si>
    <t>Издаци за набавку непроизведене сталне имовине</t>
  </si>
  <si>
    <t>Изградња игралишта</t>
  </si>
  <si>
    <t>Набавка инвентара и опреме</t>
  </si>
  <si>
    <t>НАЗИВ ПОТРОШАЧКЕ ЈЕДИНИЦЕ: ЈУ ЦЕНТАР ЗА КУЛТУРУ</t>
  </si>
  <si>
    <t>Нацрт буџета 2020. године</t>
  </si>
  <si>
    <t>РАСХОДИ И ИЗДАЦИ ПО ОРГАНИЗАЦИОНОЈ КЛАСИФИКАЦИЈИ -  БУЏЕТ 2020. ГОДИНЕ</t>
  </si>
  <si>
    <t>ПРЕОСТАЛО ЗА КАПИТАЛНЕ ИНВЕСТИЦИЈЕ</t>
  </si>
  <si>
    <t>Изградња и уређење пословне зоне ''Термоелектрана'' - вањско уређење и инфраструктура</t>
  </si>
  <si>
    <t xml:space="preserve">Дознак на име социјалне заштите </t>
  </si>
  <si>
    <t>Изградња каналазиције - друга фаза</t>
  </si>
  <si>
    <t>Изградња водовода (откуп парцела, ут услови, накнаде и таксе, пројекат, санација постојеће мреже)</t>
  </si>
  <si>
    <t>БУЏЕТСКИ РАСХОДИ И ИЗДАЦИ ЗА НЕФИНАНСИЈСКУ ИМОВИНУ - НАЦРТ БУЏЕТА ОПШТИНЕ СТАНАРИ ЗА 2020. ГОДИНУ</t>
  </si>
  <si>
    <t>Нацрт буџета за 2020. годину</t>
  </si>
  <si>
    <t>Индекс (5/4)*100</t>
  </si>
  <si>
    <t>Индекс (5/4*100)</t>
  </si>
  <si>
    <t>БУЏЕТСКИ СУФИЦИТ ИЗ РАНИЈИХ ГОДИНА</t>
  </si>
  <si>
    <t>ТАБЕЛА ФИНАНСИРАЊА - НАЦРТ БУЏЕТА ЗА 2020. ГОДИНУ</t>
  </si>
  <si>
    <t>Буџет за 2019. годину</t>
  </si>
  <si>
    <t>Нацрт Буџета 2020</t>
  </si>
  <si>
    <t>Нацрт Буџета 2020. године</t>
  </si>
  <si>
    <t>НАЦРТ БУЏЕТА ОПШТИНЕ СТАНАРИ ЗА 2020. ГОДИНУ - ОПШТИ ДИО</t>
  </si>
  <si>
    <t>БУЏЕТСКИ ПРИХОДИ И ПРИМИЦИ ЗА НЕФИНАНСИЈСКУ ИМОВИНУ - НАЦРТ БУЏЕТА 2020. ГОДИНА</t>
  </si>
  <si>
    <t>ФУНКЦИОНАЛНА КЛАСИФИКАЦИЈА РАСХОДА - НАЦРТ БУЏЕТА ЗА 2020. ГОДИНУ</t>
  </si>
  <si>
    <t>Основни буџет 2020.година</t>
  </si>
  <si>
    <t xml:space="preserve">Буџет 2020.године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</si>
</sst>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libri Light"/>
      <family val="1"/>
      <charset val="238"/>
      <scheme val="major"/>
    </font>
    <font>
      <b/>
      <sz val="11"/>
      <color theme="1"/>
      <name val="Calibri Light"/>
      <family val="1"/>
      <charset val="238"/>
      <scheme val="major"/>
    </font>
    <font>
      <b/>
      <i/>
      <sz val="11"/>
      <color theme="1"/>
      <name val="Calibri Light"/>
      <family val="1"/>
      <charset val="238"/>
      <scheme val="major"/>
    </font>
    <font>
      <b/>
      <i/>
      <sz val="11"/>
      <name val="Calibri Light"/>
      <family val="1"/>
      <charset val="238"/>
      <scheme val="major"/>
    </font>
    <font>
      <sz val="11"/>
      <name val="Calibri Light"/>
      <family val="1"/>
      <charset val="238"/>
      <scheme val="major"/>
    </font>
    <font>
      <sz val="10"/>
      <color indexed="8"/>
      <name val="Arial"/>
      <family val="2"/>
    </font>
    <font>
      <sz val="11"/>
      <color indexed="8"/>
      <name val="Calibri Light"/>
      <family val="1"/>
      <charset val="238"/>
      <scheme val="major"/>
    </font>
    <font>
      <b/>
      <i/>
      <sz val="11"/>
      <color indexed="8"/>
      <name val="Calibri Light"/>
      <family val="1"/>
      <charset val="238"/>
      <scheme val="major"/>
    </font>
    <font>
      <b/>
      <sz val="11"/>
      <color theme="1"/>
      <name val="Calibri Light"/>
      <family val="1"/>
      <scheme val="major"/>
    </font>
    <font>
      <sz val="10"/>
      <name val="Arial"/>
      <family val="2"/>
      <charset val="238"/>
    </font>
    <font>
      <b/>
      <i/>
      <sz val="11"/>
      <color rgb="FF000000"/>
      <name val="Calibri Light"/>
      <family val="1"/>
      <charset val="238"/>
      <scheme val="major"/>
    </font>
    <font>
      <sz val="11"/>
      <color rgb="FF000000"/>
      <name val="Calibri Light"/>
      <family val="1"/>
      <charset val="238"/>
      <scheme val="major"/>
    </font>
    <font>
      <b/>
      <sz val="11"/>
      <color rgb="FF000000"/>
      <name val="Calibri Light"/>
      <family val="1"/>
      <scheme val="major"/>
    </font>
    <font>
      <b/>
      <sz val="10"/>
      <color theme="1"/>
      <name val="Calibri Light"/>
      <family val="1"/>
      <charset val="238"/>
      <scheme val="major"/>
    </font>
    <font>
      <i/>
      <sz val="11"/>
      <color theme="1"/>
      <name val="Calibri Light"/>
      <family val="1"/>
      <charset val="238"/>
      <scheme val="major"/>
    </font>
    <font>
      <b/>
      <sz val="11"/>
      <name val="Calibri Light"/>
      <family val="1"/>
      <charset val="238"/>
      <scheme val="major"/>
    </font>
    <font>
      <i/>
      <sz val="11"/>
      <name val="Calibri Light"/>
      <family val="1"/>
      <charset val="238"/>
      <scheme val="major"/>
    </font>
    <font>
      <b/>
      <sz val="11"/>
      <color rgb="FF000000"/>
      <name val="Calibri Light"/>
      <family val="1"/>
      <charset val="238"/>
      <scheme val="major"/>
    </font>
    <font>
      <sz val="10"/>
      <color theme="1"/>
      <name val="Calibri Light"/>
      <family val="1"/>
      <charset val="238"/>
      <scheme val="major"/>
    </font>
    <font>
      <b/>
      <sz val="10"/>
      <color theme="1"/>
      <name val="Calibri Light"/>
      <family val="1"/>
      <scheme val="major"/>
    </font>
    <font>
      <b/>
      <sz val="11"/>
      <name val="Calibri Light"/>
      <family val="1"/>
      <scheme val="major"/>
    </font>
    <font>
      <b/>
      <i/>
      <sz val="14"/>
      <color theme="1"/>
      <name val="Calibri Light"/>
      <family val="1"/>
      <charset val="238"/>
      <scheme val="major"/>
    </font>
    <font>
      <b/>
      <sz val="12"/>
      <color theme="1"/>
      <name val="Calibri Light"/>
      <family val="1"/>
      <charset val="238"/>
      <scheme val="major"/>
    </font>
    <font>
      <sz val="12"/>
      <color theme="1"/>
      <name val="Calibri Light"/>
      <family val="1"/>
      <charset val="238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theme="1"/>
      <name val="Cambria"/>
      <family val="1"/>
      <charset val="238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b/>
      <sz val="10"/>
      <name val="Cambria"/>
      <family val="1"/>
      <charset val="238"/>
    </font>
    <font>
      <i/>
      <sz val="10"/>
      <color theme="1"/>
      <name val="Cambria"/>
      <family val="1"/>
      <charset val="238"/>
    </font>
    <font>
      <b/>
      <sz val="10"/>
      <color rgb="FFFF0000"/>
      <name val="Cambria"/>
      <family val="1"/>
      <charset val="238"/>
    </font>
    <font>
      <b/>
      <i/>
      <sz val="11"/>
      <color theme="1"/>
      <name val="Cambria"/>
      <family val="1"/>
      <charset val="238"/>
    </font>
    <font>
      <b/>
      <sz val="12"/>
      <color rgb="FF000000"/>
      <name val="Arial"/>
      <family val="2"/>
      <charset val="238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Arial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theme="1"/>
      <name val="Cambria"/>
      <family val="1"/>
    </font>
    <font>
      <b/>
      <sz val="10"/>
      <color rgb="FFFF0000"/>
      <name val="Calibri Light"/>
      <family val="2"/>
      <charset val="238"/>
      <scheme val="major"/>
    </font>
    <font>
      <b/>
      <sz val="11"/>
      <color rgb="FFFF0000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8"/>
      <name val="Calibri"/>
      <family val="2"/>
      <scheme val="minor"/>
    </font>
    <font>
      <sz val="11"/>
      <color rgb="FF000000"/>
      <name val="Calibri Light"/>
      <family val="2"/>
      <charset val="238"/>
      <scheme val="major"/>
    </font>
    <font>
      <b/>
      <sz val="11"/>
      <color rgb="FF000000"/>
      <name val="Calibri Light"/>
      <family val="2"/>
      <charset val="238"/>
      <scheme val="major"/>
    </font>
    <font>
      <b/>
      <sz val="16"/>
      <color theme="1"/>
      <name val="Calibri Light"/>
      <family val="2"/>
      <charset val="238"/>
      <scheme val="major"/>
    </font>
    <font>
      <b/>
      <i/>
      <sz val="11"/>
      <color theme="1"/>
      <name val="Cambria"/>
      <family val="1"/>
    </font>
  </fonts>
  <fills count="2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C0C0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16" fillId="0" borderId="0"/>
    <xf numFmtId="0" fontId="20" fillId="0" borderId="0"/>
    <xf numFmtId="0" fontId="1" fillId="0" borderId="0"/>
    <xf numFmtId="0" fontId="60" fillId="0" borderId="0"/>
  </cellStyleXfs>
  <cellXfs count="393">
    <xf numFmtId="0" fontId="0" fillId="0" borderId="0" xfId="0"/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5" fillId="4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 wrapText="1"/>
    </xf>
    <xf numFmtId="164" fontId="5" fillId="5" borderId="0" xfId="0" applyNumberFormat="1" applyFont="1" applyFill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4" fontId="6" fillId="4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164" fontId="4" fillId="6" borderId="0" xfId="0" applyNumberFormat="1" applyFont="1" applyFill="1" applyAlignment="1">
      <alignment horizontal="right" vertical="center" wrapText="1"/>
    </xf>
    <xf numFmtId="164" fontId="5" fillId="6" borderId="0" xfId="0" applyNumberFormat="1" applyFont="1" applyFill="1" applyAlignment="1">
      <alignment horizontal="right" vertical="center" wrapText="1"/>
    </xf>
    <xf numFmtId="164" fontId="6" fillId="6" borderId="0" xfId="0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164" fontId="4" fillId="0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164" fontId="6" fillId="0" borderId="0" xfId="0" applyNumberFormat="1" applyFont="1" applyFill="1" applyAlignment="1">
      <alignment horizontal="right" vertical="center" wrapText="1"/>
    </xf>
    <xf numFmtId="164" fontId="4" fillId="3" borderId="0" xfId="0" applyNumberFormat="1" applyFont="1" applyFill="1" applyAlignment="1">
      <alignment horizontal="right" vertical="center" wrapText="1"/>
    </xf>
    <xf numFmtId="164" fontId="5" fillId="3" borderId="0" xfId="0" applyNumberFormat="1" applyFont="1" applyFill="1" applyAlignment="1">
      <alignment horizontal="right" vertical="center" wrapText="1"/>
    </xf>
    <xf numFmtId="164" fontId="6" fillId="3" borderId="0" xfId="0" applyNumberFormat="1" applyFont="1" applyFill="1" applyAlignment="1">
      <alignment horizontal="right" vertical="center" wrapText="1"/>
    </xf>
    <xf numFmtId="164" fontId="5" fillId="7" borderId="0" xfId="0" applyNumberFormat="1" applyFont="1" applyFill="1" applyAlignment="1">
      <alignment horizontal="right" vertical="center" wrapText="1"/>
    </xf>
    <xf numFmtId="164" fontId="6" fillId="7" borderId="0" xfId="0" applyNumberFormat="1" applyFont="1" applyFill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164" fontId="9" fillId="5" borderId="0" xfId="0" applyNumberFormat="1" applyFont="1" applyFill="1" applyAlignment="1">
      <alignment horizontal="right" vertical="center" wrapText="1"/>
    </xf>
    <xf numFmtId="164" fontId="10" fillId="5" borderId="0" xfId="0" applyNumberFormat="1" applyFont="1" applyFill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3" xfId="0" applyFont="1" applyBorder="1"/>
    <xf numFmtId="0" fontId="13" fillId="12" borderId="3" xfId="0" applyFont="1" applyFill="1" applyBorder="1"/>
    <xf numFmtId="0" fontId="13" fillId="13" borderId="3" xfId="0" applyFont="1" applyFill="1" applyBorder="1"/>
    <xf numFmtId="0" fontId="11" fillId="0" borderId="3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1" fillId="0" borderId="3" xfId="0" applyFont="1" applyFill="1" applyBorder="1"/>
    <xf numFmtId="0" fontId="11" fillId="0" borderId="3" xfId="0" applyFont="1" applyFill="1" applyBorder="1" applyAlignment="1">
      <alignment wrapText="1"/>
    </xf>
    <xf numFmtId="0" fontId="13" fillId="15" borderId="3" xfId="0" applyFont="1" applyFill="1" applyBorder="1"/>
    <xf numFmtId="0" fontId="14" fillId="12" borderId="3" xfId="0" applyFont="1" applyFill="1" applyBorder="1" applyAlignment="1">
      <alignment horizontal="left"/>
    </xf>
    <xf numFmtId="0" fontId="15" fillId="12" borderId="3" xfId="0" applyFont="1" applyFill="1" applyBorder="1"/>
    <xf numFmtId="0" fontId="13" fillId="14" borderId="3" xfId="0" applyFont="1" applyFill="1" applyBorder="1" applyAlignment="1">
      <alignment horizontal="center" vertical="center"/>
    </xf>
    <xf numFmtId="0" fontId="13" fillId="14" borderId="3" xfId="0" applyFont="1" applyFill="1" applyBorder="1"/>
    <xf numFmtId="0" fontId="19" fillId="14" borderId="3" xfId="0" applyFont="1" applyFill="1" applyBorder="1" applyAlignment="1">
      <alignment horizontal="center" vertical="center"/>
    </xf>
    <xf numFmtId="0" fontId="11" fillId="14" borderId="3" xfId="0" applyFont="1" applyFill="1" applyBorder="1"/>
    <xf numFmtId="0" fontId="19" fillId="4" borderId="3" xfId="0" applyFont="1" applyFill="1" applyBorder="1" applyAlignment="1">
      <alignment horizontal="center" vertical="center"/>
    </xf>
    <xf numFmtId="0" fontId="11" fillId="4" borderId="3" xfId="0" applyFont="1" applyFill="1" applyBorder="1"/>
    <xf numFmtId="0" fontId="13" fillId="17" borderId="3" xfId="0" applyFont="1" applyFill="1" applyBorder="1"/>
    <xf numFmtId="0" fontId="24" fillId="0" borderId="3" xfId="0" applyFont="1" applyFill="1" applyBorder="1" applyAlignment="1">
      <alignment horizontal="right" vertical="center"/>
    </xf>
    <xf numFmtId="0" fontId="13" fillId="0" borderId="3" xfId="0" applyFont="1" applyFill="1" applyBorder="1"/>
    <xf numFmtId="0" fontId="24" fillId="0" borderId="3" xfId="0" applyFont="1" applyFill="1" applyBorder="1"/>
    <xf numFmtId="0" fontId="11" fillId="17" borderId="3" xfId="0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3" fillId="12" borderId="3" xfId="0" applyFont="1" applyFill="1" applyBorder="1" applyAlignment="1">
      <alignment horizontal="left" vertical="center"/>
    </xf>
    <xf numFmtId="0" fontId="13" fillId="10" borderId="3" xfId="0" applyFont="1" applyFill="1" applyBorder="1"/>
    <xf numFmtId="0" fontId="13" fillId="10" borderId="3" xfId="0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right"/>
    </xf>
    <xf numFmtId="0" fontId="25" fillId="0" borderId="3" xfId="0" applyFont="1" applyFill="1" applyBorder="1" applyAlignment="1">
      <alignment horizontal="left" vertical="center"/>
    </xf>
    <xf numFmtId="0" fontId="24" fillId="0" borderId="3" xfId="0" applyFont="1" applyBorder="1" applyAlignment="1">
      <alignment horizontal="right"/>
    </xf>
    <xf numFmtId="0" fontId="11" fillId="9" borderId="3" xfId="0" applyFont="1" applyFill="1" applyBorder="1"/>
    <xf numFmtId="0" fontId="15" fillId="9" borderId="3" xfId="0" applyFont="1" applyFill="1" applyBorder="1"/>
    <xf numFmtId="0" fontId="13" fillId="12" borderId="3" xfId="0" applyFont="1" applyFill="1" applyBorder="1" applyAlignment="1">
      <alignment horizontal="left"/>
    </xf>
    <xf numFmtId="0" fontId="13" fillId="18" borderId="3" xfId="0" applyFont="1" applyFill="1" applyBorder="1" applyAlignment="1">
      <alignment horizontal="center" vertical="center"/>
    </xf>
    <xf numFmtId="0" fontId="13" fillId="18" borderId="3" xfId="0" applyFont="1" applyFill="1" applyBorder="1"/>
    <xf numFmtId="0" fontId="13" fillId="19" borderId="3" xfId="0" applyFont="1" applyFill="1" applyBorder="1"/>
    <xf numFmtId="0" fontId="14" fillId="14" borderId="3" xfId="0" applyFont="1" applyFill="1" applyBorder="1" applyAlignment="1">
      <alignment horizontal="center"/>
    </xf>
    <xf numFmtId="0" fontId="14" fillId="14" borderId="3" xfId="0" applyFont="1" applyFill="1" applyBorder="1" applyAlignment="1">
      <alignment horizontal="left"/>
    </xf>
    <xf numFmtId="0" fontId="27" fillId="5" borderId="3" xfId="0" applyFont="1" applyFill="1" applyBorder="1" applyAlignment="1">
      <alignment horizontal="right" vertical="center"/>
    </xf>
    <xf numFmtId="0" fontId="27" fillId="5" borderId="3" xfId="0" applyFont="1" applyFill="1" applyBorder="1" applyAlignment="1">
      <alignment horizontal="right"/>
    </xf>
    <xf numFmtId="0" fontId="11" fillId="5" borderId="3" xfId="0" applyFont="1" applyFill="1" applyBorder="1"/>
    <xf numFmtId="0" fontId="13" fillId="5" borderId="3" xfId="0" applyFont="1" applyFill="1" applyBorder="1" applyAlignment="1">
      <alignment horizontal="center" vertical="center"/>
    </xf>
    <xf numFmtId="0" fontId="13" fillId="5" borderId="3" xfId="0" applyFont="1" applyFill="1" applyBorder="1"/>
    <xf numFmtId="0" fontId="13" fillId="0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wrapText="1"/>
    </xf>
    <xf numFmtId="0" fontId="13" fillId="0" borderId="0" xfId="0" applyFont="1" applyBorder="1" applyAlignment="1">
      <alignment horizontal="center"/>
    </xf>
    <xf numFmtId="0" fontId="13" fillId="14" borderId="3" xfId="0" applyFont="1" applyFill="1" applyBorder="1" applyAlignment="1">
      <alignment horizontal="center"/>
    </xf>
    <xf numFmtId="0" fontId="24" fillId="0" borderId="3" xfId="0" applyFont="1" applyBorder="1" applyAlignment="1">
      <alignment horizontal="right" vertical="center"/>
    </xf>
    <xf numFmtId="0" fontId="29" fillId="0" borderId="3" xfId="0" applyFont="1" applyBorder="1" applyAlignment="1">
      <alignment horizontal="right" vertical="center"/>
    </xf>
    <xf numFmtId="0" fontId="13" fillId="12" borderId="3" xfId="0" applyFont="1" applyFill="1" applyBorder="1" applyAlignment="1">
      <alignment horizontal="left" wrapText="1"/>
    </xf>
    <xf numFmtId="0" fontId="13" fillId="12" borderId="3" xfId="0" applyFont="1" applyFill="1" applyBorder="1" applyAlignment="1">
      <alignment wrapText="1"/>
    </xf>
    <xf numFmtId="0" fontId="19" fillId="3" borderId="3" xfId="0" applyFont="1" applyFill="1" applyBorder="1" applyAlignment="1">
      <alignment horizontal="left" wrapText="1"/>
    </xf>
    <xf numFmtId="0" fontId="19" fillId="3" borderId="3" xfId="0" applyFont="1" applyFill="1" applyBorder="1" applyAlignment="1">
      <alignment wrapText="1"/>
    </xf>
    <xf numFmtId="0" fontId="24" fillId="0" borderId="3" xfId="0" applyFont="1" applyFill="1" applyBorder="1" applyAlignment="1">
      <alignment horizontal="right" vertical="center" wrapText="1"/>
    </xf>
    <xf numFmtId="0" fontId="24" fillId="0" borderId="3" xfId="0" applyFont="1" applyBorder="1" applyAlignment="1">
      <alignment horizontal="right" vertical="center" wrapText="1"/>
    </xf>
    <xf numFmtId="0" fontId="30" fillId="10" borderId="3" xfId="0" applyFont="1" applyFill="1" applyBorder="1" applyAlignment="1">
      <alignment horizontal="right" vertical="center" wrapText="1"/>
    </xf>
    <xf numFmtId="0" fontId="19" fillId="10" borderId="3" xfId="0" applyFont="1" applyFill="1" applyBorder="1" applyAlignment="1">
      <alignment wrapText="1"/>
    </xf>
    <xf numFmtId="0" fontId="11" fillId="10" borderId="3" xfId="0" applyFont="1" applyFill="1" applyBorder="1" applyAlignment="1">
      <alignment wrapText="1"/>
    </xf>
    <xf numFmtId="0" fontId="34" fillId="0" borderId="0" xfId="0" applyFont="1" applyAlignment="1">
      <alignment horizontal="center"/>
    </xf>
    <xf numFmtId="0" fontId="34" fillId="0" borderId="0" xfId="0" applyFont="1"/>
    <xf numFmtId="164" fontId="40" fillId="0" borderId="0" xfId="0" applyNumberFormat="1" applyFont="1" applyBorder="1"/>
    <xf numFmtId="164" fontId="38" fillId="12" borderId="3" xfId="0" applyNumberFormat="1" applyFont="1" applyFill="1" applyBorder="1"/>
    <xf numFmtId="164" fontId="35" fillId="5" borderId="3" xfId="0" applyNumberFormat="1" applyFont="1" applyFill="1" applyBorder="1"/>
    <xf numFmtId="164" fontId="40" fillId="0" borderId="3" xfId="0" applyNumberFormat="1" applyFont="1" applyBorder="1"/>
    <xf numFmtId="0" fontId="12" fillId="5" borderId="3" xfId="0" applyFont="1" applyFill="1" applyBorder="1" applyAlignment="1">
      <alignment horizontal="center" vertical="center" wrapText="1"/>
    </xf>
    <xf numFmtId="0" fontId="46" fillId="5" borderId="3" xfId="0" applyFont="1" applyFill="1" applyBorder="1" applyAlignment="1">
      <alignment horizontal="right" vertical="center" wrapText="1"/>
    </xf>
    <xf numFmtId="0" fontId="40" fillId="5" borderId="3" xfId="0" applyFont="1" applyFill="1" applyBorder="1" applyAlignment="1">
      <alignment wrapText="1"/>
    </xf>
    <xf numFmtId="164" fontId="42" fillId="5" borderId="3" xfId="0" applyNumberFormat="1" applyFont="1" applyFill="1" applyBorder="1" applyAlignment="1">
      <alignment wrapText="1"/>
    </xf>
    <xf numFmtId="0" fontId="11" fillId="5" borderId="0" xfId="0" applyFont="1" applyFill="1" applyAlignment="1">
      <alignment horizontal="center"/>
    </xf>
    <xf numFmtId="0" fontId="11" fillId="5" borderId="0" xfId="0" applyFont="1" applyFill="1"/>
    <xf numFmtId="164" fontId="36" fillId="11" borderId="3" xfId="0" applyNumberFormat="1" applyFont="1" applyFill="1" applyBorder="1" applyAlignment="1">
      <alignment horizontal="center" vertical="center" wrapText="1"/>
    </xf>
    <xf numFmtId="164" fontId="41" fillId="9" borderId="3" xfId="0" applyNumberFormat="1" applyFont="1" applyFill="1" applyBorder="1" applyAlignment="1">
      <alignment horizontal="center" vertical="center"/>
    </xf>
    <xf numFmtId="164" fontId="37" fillId="12" borderId="3" xfId="0" applyNumberFormat="1" applyFont="1" applyFill="1" applyBorder="1"/>
    <xf numFmtId="164" fontId="37" fillId="14" borderId="3" xfId="0" applyNumberFormat="1" applyFont="1" applyFill="1" applyBorder="1"/>
    <xf numFmtId="164" fontId="41" fillId="0" borderId="3" xfId="0" applyNumberFormat="1" applyFont="1" applyFill="1" applyBorder="1"/>
    <xf numFmtId="164" fontId="37" fillId="15" borderId="3" xfId="0" applyNumberFormat="1" applyFont="1" applyFill="1" applyBorder="1"/>
    <xf numFmtId="164" fontId="37" fillId="9" borderId="3" xfId="0" applyNumberFormat="1" applyFont="1" applyFill="1" applyBorder="1"/>
    <xf numFmtId="164" fontId="35" fillId="14" borderId="3" xfId="0" applyNumberFormat="1" applyFont="1" applyFill="1" applyBorder="1"/>
    <xf numFmtId="164" fontId="35" fillId="4" borderId="3" xfId="0" applyNumberFormat="1" applyFont="1" applyFill="1" applyBorder="1"/>
    <xf numFmtId="164" fontId="40" fillId="0" borderId="3" xfId="0" applyNumberFormat="1" applyFont="1" applyFill="1" applyBorder="1"/>
    <xf numFmtId="164" fontId="37" fillId="17" borderId="3" xfId="0" applyNumberFormat="1" applyFont="1" applyFill="1" applyBorder="1"/>
    <xf numFmtId="164" fontId="35" fillId="15" borderId="3" xfId="0" applyNumberFormat="1" applyFont="1" applyFill="1" applyBorder="1"/>
    <xf numFmtId="164" fontId="37" fillId="16" borderId="3" xfId="0" applyNumberFormat="1" applyFont="1" applyFill="1" applyBorder="1"/>
    <xf numFmtId="164" fontId="37" fillId="10" borderId="3" xfId="0" applyNumberFormat="1" applyFont="1" applyFill="1" applyBorder="1"/>
    <xf numFmtId="164" fontId="37" fillId="10" borderId="3" xfId="0" applyNumberFormat="1" applyFont="1" applyFill="1" applyBorder="1" applyAlignment="1">
      <alignment horizontal="right" vertical="center"/>
    </xf>
    <xf numFmtId="164" fontId="40" fillId="0" borderId="3" xfId="0" applyNumberFormat="1" applyFont="1" applyFill="1" applyBorder="1" applyAlignment="1">
      <alignment horizontal="right" vertical="center"/>
    </xf>
    <xf numFmtId="164" fontId="37" fillId="12" borderId="3" xfId="0" applyNumberFormat="1" applyFont="1" applyFill="1" applyBorder="1" applyAlignment="1">
      <alignment horizontal="right" vertical="center"/>
    </xf>
    <xf numFmtId="164" fontId="38" fillId="9" borderId="3" xfId="0" applyNumberFormat="1" applyFont="1" applyFill="1" applyBorder="1" applyAlignment="1">
      <alignment horizontal="right" vertical="center"/>
    </xf>
    <xf numFmtId="164" fontId="37" fillId="16" borderId="3" xfId="0" applyNumberFormat="1" applyFont="1" applyFill="1" applyBorder="1" applyAlignment="1">
      <alignment horizontal="right" vertical="center"/>
    </xf>
    <xf numFmtId="164" fontId="37" fillId="18" borderId="3" xfId="0" applyNumberFormat="1" applyFont="1" applyFill="1" applyBorder="1"/>
    <xf numFmtId="164" fontId="39" fillId="12" borderId="3" xfId="0" applyNumberFormat="1" applyFont="1" applyFill="1" applyBorder="1" applyAlignment="1">
      <alignment horizontal="right"/>
    </xf>
    <xf numFmtId="164" fontId="39" fillId="14" borderId="3" xfId="0" applyNumberFormat="1" applyFont="1" applyFill="1" applyBorder="1" applyAlignment="1">
      <alignment horizontal="right"/>
    </xf>
    <xf numFmtId="164" fontId="43" fillId="5" borderId="3" xfId="0" applyNumberFormat="1" applyFont="1" applyFill="1" applyBorder="1" applyAlignment="1">
      <alignment horizontal="right"/>
    </xf>
    <xf numFmtId="164" fontId="40" fillId="5" borderId="3" xfId="0" applyNumberFormat="1" applyFont="1" applyFill="1" applyBorder="1"/>
    <xf numFmtId="164" fontId="41" fillId="12" borderId="3" xfId="0" applyNumberFormat="1" applyFont="1" applyFill="1" applyBorder="1"/>
    <xf numFmtId="164" fontId="37" fillId="16" borderId="3" xfId="0" applyNumberFormat="1" applyFont="1" applyFill="1" applyBorder="1" applyAlignment="1">
      <alignment vertical="center"/>
    </xf>
    <xf numFmtId="164" fontId="40" fillId="0" borderId="3" xfId="0" applyNumberFormat="1" applyFont="1" applyFill="1" applyBorder="1" applyAlignment="1">
      <alignment wrapText="1"/>
    </xf>
    <xf numFmtId="164" fontId="38" fillId="10" borderId="3" xfId="0" applyNumberFormat="1" applyFont="1" applyFill="1" applyBorder="1" applyAlignment="1">
      <alignment wrapText="1"/>
    </xf>
    <xf numFmtId="164" fontId="42" fillId="0" borderId="3" xfId="0" applyNumberFormat="1" applyFont="1" applyFill="1" applyBorder="1" applyAlignment="1">
      <alignment wrapText="1"/>
    </xf>
    <xf numFmtId="164" fontId="35" fillId="10" borderId="3" xfId="0" applyNumberFormat="1" applyFont="1" applyFill="1" applyBorder="1" applyAlignment="1">
      <alignment wrapText="1"/>
    </xf>
    <xf numFmtId="164" fontId="40" fillId="5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horizontal="left" wrapText="1"/>
    </xf>
    <xf numFmtId="0" fontId="13" fillId="3" borderId="3" xfId="0" applyFont="1" applyFill="1" applyBorder="1" applyAlignment="1">
      <alignment wrapText="1"/>
    </xf>
    <xf numFmtId="0" fontId="40" fillId="5" borderId="0" xfId="0" applyFont="1" applyFill="1" applyAlignment="1">
      <alignment horizontal="center"/>
    </xf>
    <xf numFmtId="0" fontId="40" fillId="5" borderId="3" xfId="0" applyFont="1" applyFill="1" applyBorder="1" applyAlignment="1">
      <alignment horizontal="left" wrapText="1"/>
    </xf>
    <xf numFmtId="0" fontId="40" fillId="5" borderId="0" xfId="0" applyFont="1" applyFill="1"/>
    <xf numFmtId="0" fontId="35" fillId="14" borderId="3" xfId="0" applyFont="1" applyFill="1" applyBorder="1"/>
    <xf numFmtId="164" fontId="37" fillId="3" borderId="3" xfId="0" applyNumberFormat="1" applyFont="1" applyFill="1" applyBorder="1" applyAlignment="1">
      <alignment wrapText="1"/>
    </xf>
    <xf numFmtId="164" fontId="35" fillId="3" borderId="3" xfId="0" applyNumberFormat="1" applyFont="1" applyFill="1" applyBorder="1" applyAlignment="1">
      <alignment wrapText="1"/>
    </xf>
    <xf numFmtId="164" fontId="37" fillId="12" borderId="3" xfId="0" applyNumberFormat="1" applyFont="1" applyFill="1" applyBorder="1" applyAlignment="1">
      <alignment wrapText="1"/>
    </xf>
    <xf numFmtId="164" fontId="44" fillId="8" borderId="0" xfId="0" applyNumberFormat="1" applyFont="1" applyFill="1" applyBorder="1" applyAlignment="1">
      <alignment horizontal="right" vertical="center"/>
    </xf>
    <xf numFmtId="0" fontId="40" fillId="5" borderId="3" xfId="0" applyFont="1" applyFill="1" applyBorder="1"/>
    <xf numFmtId="164" fontId="41" fillId="5" borderId="3" xfId="0" applyNumberFormat="1" applyFont="1" applyFill="1" applyBorder="1"/>
    <xf numFmtId="0" fontId="8" fillId="7" borderId="0" xfId="0" applyFont="1" applyFill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0" fontId="42" fillId="5" borderId="3" xfId="0" applyFont="1" applyFill="1" applyBorder="1"/>
    <xf numFmtId="164" fontId="38" fillId="5" borderId="3" xfId="0" applyNumberFormat="1" applyFont="1" applyFill="1" applyBorder="1"/>
    <xf numFmtId="164" fontId="42" fillId="5" borderId="3" xfId="0" applyNumberFormat="1" applyFont="1" applyFill="1" applyBorder="1"/>
    <xf numFmtId="164" fontId="50" fillId="5" borderId="3" xfId="0" applyNumberFormat="1" applyFont="1" applyFill="1" applyBorder="1"/>
    <xf numFmtId="164" fontId="48" fillId="5" borderId="0" xfId="0" applyNumberFormat="1" applyFont="1" applyFill="1" applyAlignment="1">
      <alignment horizontal="right" vertical="center" wrapText="1"/>
    </xf>
    <xf numFmtId="0" fontId="49" fillId="0" borderId="0" xfId="0" applyFont="1" applyAlignment="1">
      <alignment horizontal="center"/>
    </xf>
    <xf numFmtId="0" fontId="49" fillId="0" borderId="3" xfId="0" applyFont="1" applyBorder="1"/>
    <xf numFmtId="164" fontId="49" fillId="5" borderId="3" xfId="0" applyNumberFormat="1" applyFont="1" applyFill="1" applyBorder="1"/>
    <xf numFmtId="0" fontId="49" fillId="0" borderId="0" xfId="0" applyFont="1"/>
    <xf numFmtId="0" fontId="4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4" fillId="11" borderId="0" xfId="0" applyFont="1" applyFill="1" applyAlignment="1">
      <alignment horizontal="center" vertical="center" wrapText="1"/>
    </xf>
    <xf numFmtId="0" fontId="4" fillId="11" borderId="0" xfId="0" applyFont="1" applyFill="1" applyAlignment="1">
      <alignment horizontal="left" vertical="center" wrapText="1"/>
    </xf>
    <xf numFmtId="164" fontId="4" fillId="11" borderId="0" xfId="0" applyNumberFormat="1" applyFont="1" applyFill="1" applyAlignment="1">
      <alignment horizontal="right" vertical="center" wrapText="1"/>
    </xf>
    <xf numFmtId="164" fontId="6" fillId="11" borderId="0" xfId="0" applyNumberFormat="1" applyFont="1" applyFill="1" applyAlignment="1">
      <alignment horizontal="right" vertical="center" wrapText="1"/>
    </xf>
    <xf numFmtId="164" fontId="4" fillId="4" borderId="0" xfId="0" applyNumberFormat="1" applyFont="1" applyFill="1" applyAlignment="1">
      <alignment horizontal="right" vertical="center" wrapText="1"/>
    </xf>
    <xf numFmtId="0" fontId="51" fillId="20" borderId="0" xfId="0" applyFont="1" applyFill="1" applyAlignment="1">
      <alignment horizontal="center" vertical="center" wrapText="1"/>
    </xf>
    <xf numFmtId="0" fontId="51" fillId="20" borderId="0" xfId="0" applyFont="1" applyFill="1" applyAlignment="1">
      <alignment vertical="center" wrapText="1"/>
    </xf>
    <xf numFmtId="164" fontId="51" fillId="20" borderId="0" xfId="0" applyNumberFormat="1" applyFont="1" applyFill="1" applyAlignment="1">
      <alignment horizontal="right" vertical="center" wrapText="1"/>
    </xf>
    <xf numFmtId="164" fontId="6" fillId="20" borderId="0" xfId="0" applyNumberFormat="1" applyFont="1" applyFill="1" applyAlignment="1">
      <alignment horizontal="right" vertical="center" wrapText="1"/>
    </xf>
    <xf numFmtId="0" fontId="4" fillId="21" borderId="0" xfId="0" applyFont="1" applyFill="1" applyAlignment="1">
      <alignment horizontal="center" vertical="center" wrapText="1"/>
    </xf>
    <xf numFmtId="0" fontId="4" fillId="21" borderId="0" xfId="0" applyFont="1" applyFill="1" applyAlignment="1">
      <alignment horizontal="left" vertical="center" wrapText="1"/>
    </xf>
    <xf numFmtId="164" fontId="4" fillId="21" borderId="0" xfId="0" applyNumberFormat="1" applyFont="1" applyFill="1" applyAlignment="1">
      <alignment horizontal="right" vertical="center" wrapText="1"/>
    </xf>
    <xf numFmtId="164" fontId="6" fillId="21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4" fillId="22" borderId="0" xfId="0" applyFont="1" applyFill="1" applyAlignment="1">
      <alignment horizontal="center" vertical="center" wrapText="1"/>
    </xf>
    <xf numFmtId="0" fontId="4" fillId="22" borderId="0" xfId="0" applyFont="1" applyFill="1" applyAlignment="1">
      <alignment horizontal="left" vertical="center" wrapText="1"/>
    </xf>
    <xf numFmtId="164" fontId="4" fillId="22" borderId="0" xfId="0" applyNumberFormat="1" applyFont="1" applyFill="1" applyAlignment="1">
      <alignment horizontal="right" vertical="center" wrapText="1"/>
    </xf>
    <xf numFmtId="164" fontId="6" fillId="22" borderId="0" xfId="0" applyNumberFormat="1" applyFont="1" applyFill="1" applyAlignment="1">
      <alignment horizontal="right" vertical="center" wrapText="1"/>
    </xf>
    <xf numFmtId="0" fontId="51" fillId="6" borderId="0" xfId="0" applyFont="1" applyFill="1" applyAlignment="1">
      <alignment horizontal="center" vertical="center" wrapText="1"/>
    </xf>
    <xf numFmtId="0" fontId="51" fillId="6" borderId="0" xfId="0" applyFont="1" applyFill="1" applyAlignment="1">
      <alignment horizontal="left" vertical="center" wrapText="1"/>
    </xf>
    <xf numFmtId="164" fontId="51" fillId="6" borderId="0" xfId="0" applyNumberFormat="1" applyFont="1" applyFill="1" applyAlignment="1">
      <alignment horizontal="right" vertical="center" wrapText="1"/>
    </xf>
    <xf numFmtId="0" fontId="52" fillId="0" borderId="0" xfId="0" applyFont="1" applyAlignment="1">
      <alignment horizontal="center" vertical="center" wrapText="1"/>
    </xf>
    <xf numFmtId="0" fontId="52" fillId="0" borderId="0" xfId="0" applyFont="1" applyAlignment="1">
      <alignment horizontal="left" vertical="center" wrapText="1"/>
    </xf>
    <xf numFmtId="164" fontId="52" fillId="0" borderId="0" xfId="0" applyNumberFormat="1" applyFont="1" applyAlignment="1">
      <alignment horizontal="right" vertical="center" wrapText="1"/>
    </xf>
    <xf numFmtId="0" fontId="4" fillId="6" borderId="0" xfId="0" applyFont="1" applyFill="1" applyAlignment="1">
      <alignment horizontal="center" vertical="center" wrapText="1"/>
    </xf>
    <xf numFmtId="0" fontId="6" fillId="23" borderId="0" xfId="0" applyFont="1" applyFill="1" applyBorder="1" applyAlignment="1">
      <alignment horizontal="center" vertical="center" wrapText="1"/>
    </xf>
    <xf numFmtId="0" fontId="4" fillId="23" borderId="0" xfId="0" applyFont="1" applyFill="1" applyBorder="1" applyAlignment="1">
      <alignment horizontal="left" vertical="center" wrapText="1"/>
    </xf>
    <xf numFmtId="164" fontId="6" fillId="23" borderId="0" xfId="0" applyNumberFormat="1" applyFont="1" applyFill="1" applyBorder="1" applyAlignment="1">
      <alignment horizontal="right" vertical="center" wrapText="1"/>
    </xf>
    <xf numFmtId="164" fontId="6" fillId="23" borderId="0" xfId="0" applyNumberFormat="1" applyFont="1" applyFill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164" fontId="52" fillId="3" borderId="0" xfId="0" applyNumberFormat="1" applyFont="1" applyFill="1" applyAlignment="1">
      <alignment horizontal="right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left" vertical="center" wrapText="1"/>
    </xf>
    <xf numFmtId="164" fontId="4" fillId="7" borderId="0" xfId="0" applyNumberFormat="1" applyFont="1" applyFill="1" applyAlignment="1">
      <alignment horizontal="right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4" fillId="21" borderId="0" xfId="0" applyFont="1" applyFill="1" applyAlignment="1">
      <alignment vertical="center" wrapText="1"/>
    </xf>
    <xf numFmtId="164" fontId="5" fillId="21" borderId="0" xfId="0" applyNumberFormat="1" applyFont="1" applyFill="1" applyAlignment="1">
      <alignment horizontal="right" vertical="center" wrapText="1"/>
    </xf>
    <xf numFmtId="164" fontId="53" fillId="0" borderId="0" xfId="0" applyNumberFormat="1" applyFont="1" applyAlignment="1">
      <alignment horizontal="right" vertical="center" wrapText="1"/>
    </xf>
    <xf numFmtId="0" fontId="7" fillId="21" borderId="0" xfId="0" applyFont="1" applyFill="1" applyAlignment="1">
      <alignment horizontal="left" vertical="center" wrapText="1"/>
    </xf>
    <xf numFmtId="0" fontId="5" fillId="16" borderId="0" xfId="0" applyFont="1" applyFill="1" applyAlignment="1">
      <alignment horizontal="center" vertical="center" wrapText="1"/>
    </xf>
    <xf numFmtId="0" fontId="54" fillId="16" borderId="0" xfId="0" applyFont="1" applyFill="1" applyAlignment="1">
      <alignment horizontal="left" vertical="center" wrapText="1"/>
    </xf>
    <xf numFmtId="164" fontId="4" fillId="16" borderId="0" xfId="0" applyNumberFormat="1" applyFont="1" applyFill="1" applyAlignment="1">
      <alignment horizontal="right" vertical="center" wrapText="1"/>
    </xf>
    <xf numFmtId="164" fontId="6" fillId="16" borderId="0" xfId="0" applyNumberFormat="1" applyFont="1" applyFill="1" applyAlignment="1">
      <alignment horizontal="right" vertical="center" wrapText="1"/>
    </xf>
    <xf numFmtId="0" fontId="51" fillId="21" borderId="0" xfId="0" applyFont="1" applyFill="1" applyAlignment="1">
      <alignment horizontal="center" vertical="center" wrapText="1"/>
    </xf>
    <xf numFmtId="0" fontId="51" fillId="21" borderId="0" xfId="0" applyFont="1" applyFill="1" applyAlignment="1">
      <alignment horizontal="left" vertical="center" wrapText="1"/>
    </xf>
    <xf numFmtId="0" fontId="8" fillId="7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  <xf numFmtId="0" fontId="56" fillId="20" borderId="12" xfId="0" applyFont="1" applyFill="1" applyBorder="1" applyAlignment="1">
      <alignment horizontal="center" vertical="center" wrapText="1"/>
    </xf>
    <xf numFmtId="164" fontId="56" fillId="20" borderId="13" xfId="0" applyNumberFormat="1" applyFont="1" applyFill="1" applyBorder="1" applyAlignment="1">
      <alignment horizontal="center" vertical="center" wrapText="1"/>
    </xf>
    <xf numFmtId="0" fontId="56" fillId="20" borderId="12" xfId="0" applyFont="1" applyFill="1" applyBorder="1" applyAlignment="1">
      <alignment horizontal="center" vertical="top"/>
    </xf>
    <xf numFmtId="164" fontId="56" fillId="20" borderId="13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6" fillId="0" borderId="12" xfId="0" applyFont="1" applyBorder="1" applyAlignment="1">
      <alignment horizontal="left" vertical="top"/>
    </xf>
    <xf numFmtId="164" fontId="56" fillId="0" borderId="13" xfId="0" applyNumberFormat="1" applyFont="1" applyBorder="1" applyAlignment="1">
      <alignment horizontal="right" vertical="center"/>
    </xf>
    <xf numFmtId="0" fontId="0" fillId="24" borderId="14" xfId="0" applyFill="1" applyBorder="1" applyAlignment="1">
      <alignment horizontal="center" vertical="center" wrapText="1"/>
    </xf>
    <xf numFmtId="0" fontId="0" fillId="24" borderId="15" xfId="0" applyFill="1" applyBorder="1" applyAlignment="1">
      <alignment horizontal="center" vertical="center" wrapText="1"/>
    </xf>
    <xf numFmtId="0" fontId="56" fillId="24" borderId="15" xfId="0" applyFont="1" applyFill="1" applyBorder="1" applyAlignment="1">
      <alignment horizontal="left" vertical="top"/>
    </xf>
    <xf numFmtId="164" fontId="56" fillId="24" borderId="16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4" fillId="0" borderId="0" xfId="0" applyFont="1" applyFill="1" applyAlignment="1">
      <alignment vertical="center" wrapText="1"/>
    </xf>
    <xf numFmtId="164" fontId="51" fillId="0" borderId="0" xfId="0" applyNumberFormat="1" applyFont="1" applyAlignment="1">
      <alignment horizontal="right" vertical="center" wrapText="1"/>
    </xf>
    <xf numFmtId="164" fontId="51" fillId="21" borderId="0" xfId="0" applyNumberFormat="1" applyFont="1" applyFill="1" applyAlignment="1">
      <alignment horizontal="right" vertical="center" wrapText="1"/>
    </xf>
    <xf numFmtId="164" fontId="6" fillId="5" borderId="0" xfId="0" applyNumberFormat="1" applyFont="1" applyFill="1" applyAlignment="1">
      <alignment horizontal="right" vertical="center" wrapText="1"/>
    </xf>
    <xf numFmtId="0" fontId="12" fillId="4" borderId="3" xfId="0" applyFont="1" applyFill="1" applyBorder="1" applyAlignment="1">
      <alignment horizontal="left"/>
    </xf>
    <xf numFmtId="164" fontId="50" fillId="4" borderId="3" xfId="0" applyNumberFormat="1" applyFont="1" applyFill="1" applyBorder="1" applyAlignment="1">
      <alignment horizontal="right" vertical="center"/>
    </xf>
    <xf numFmtId="0" fontId="50" fillId="21" borderId="0" xfId="0" applyFont="1" applyFill="1" applyBorder="1" applyAlignment="1">
      <alignment wrapText="1"/>
    </xf>
    <xf numFmtId="0" fontId="0" fillId="0" borderId="0" xfId="0" applyBorder="1"/>
    <xf numFmtId="0" fontId="12" fillId="10" borderId="3" xfId="0" applyFont="1" applyFill="1" applyBorder="1" applyAlignment="1">
      <alignment horizontal="center" vertical="center" wrapText="1"/>
    </xf>
    <xf numFmtId="0" fontId="33" fillId="11" borderId="3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13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40" fillId="5" borderId="3" xfId="0" applyFont="1" applyFill="1" applyBorder="1" applyAlignment="1">
      <alignment horizontal="center" vertical="center"/>
    </xf>
    <xf numFmtId="0" fontId="13" fillId="15" borderId="3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left" vertical="center" wrapText="1"/>
    </xf>
    <xf numFmtId="0" fontId="14" fillId="12" borderId="3" xfId="0" applyFont="1" applyFill="1" applyBorder="1"/>
    <xf numFmtId="0" fontId="13" fillId="14" borderId="3" xfId="0" applyFont="1" applyFill="1" applyBorder="1" applyAlignment="1">
      <alignment wrapText="1"/>
    </xf>
    <xf numFmtId="49" fontId="17" fillId="0" borderId="3" xfId="2" applyNumberFormat="1" applyFont="1" applyFill="1" applyBorder="1" applyAlignment="1">
      <alignment horizontal="left" wrapText="1"/>
    </xf>
    <xf numFmtId="49" fontId="18" fillId="14" borderId="3" xfId="2" applyNumberFormat="1" applyFont="1" applyFill="1" applyBorder="1" applyAlignment="1">
      <alignment horizontal="left" wrapText="1"/>
    </xf>
    <xf numFmtId="49" fontId="15" fillId="0" borderId="3" xfId="2" applyNumberFormat="1" applyFont="1" applyFill="1" applyBorder="1" applyAlignment="1">
      <alignment horizontal="left" wrapText="1"/>
    </xf>
    <xf numFmtId="0" fontId="19" fillId="14" borderId="3" xfId="0" applyFont="1" applyFill="1" applyBorder="1"/>
    <xf numFmtId="0" fontId="21" fillId="14" borderId="3" xfId="3" applyFont="1" applyFill="1" applyBorder="1" applyAlignment="1">
      <alignment horizontal="left" vertical="top" wrapText="1"/>
    </xf>
    <xf numFmtId="0" fontId="22" fillId="0" borderId="3" xfId="3" applyFont="1" applyFill="1" applyBorder="1" applyAlignment="1">
      <alignment horizontal="left" vertical="top" wrapText="1"/>
    </xf>
    <xf numFmtId="0" fontId="23" fillId="4" borderId="3" xfId="3" applyFont="1" applyFill="1" applyBorder="1" applyAlignment="1">
      <alignment horizontal="left" vertical="top" wrapText="1"/>
    </xf>
    <xf numFmtId="0" fontId="12" fillId="15" borderId="3" xfId="0" applyFont="1" applyFill="1" applyBorder="1" applyAlignment="1">
      <alignment wrapText="1"/>
    </xf>
    <xf numFmtId="0" fontId="13" fillId="17" borderId="3" xfId="0" applyFont="1" applyFill="1" applyBorder="1" applyAlignment="1">
      <alignment horizontal="left" vertical="center"/>
    </xf>
    <xf numFmtId="0" fontId="13" fillId="14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50" fillId="4" borderId="3" xfId="0" applyFont="1" applyFill="1" applyBorder="1" applyAlignment="1">
      <alignment wrapText="1"/>
    </xf>
    <xf numFmtId="0" fontId="13" fillId="9" borderId="3" xfId="0" applyFont="1" applyFill="1" applyBorder="1"/>
    <xf numFmtId="0" fontId="26" fillId="9" borderId="3" xfId="0" applyFont="1" applyFill="1" applyBorder="1" applyAlignment="1">
      <alignment vertical="center" wrapText="1"/>
    </xf>
    <xf numFmtId="164" fontId="37" fillId="19" borderId="3" xfId="0" applyNumberFormat="1" applyFont="1" applyFill="1" applyBorder="1"/>
    <xf numFmtId="0" fontId="27" fillId="5" borderId="3" xfId="0" applyFont="1" applyFill="1" applyBorder="1" applyAlignment="1">
      <alignment horizontal="left" vertical="center" wrapText="1"/>
    </xf>
    <xf numFmtId="0" fontId="50" fillId="5" borderId="3" xfId="0" applyFont="1" applyFill="1" applyBorder="1" applyAlignment="1">
      <alignment wrapText="1"/>
    </xf>
    <xf numFmtId="0" fontId="35" fillId="5" borderId="3" xfId="0" applyFont="1" applyFill="1" applyBorder="1" applyAlignment="1">
      <alignment wrapText="1"/>
    </xf>
    <xf numFmtId="0" fontId="35" fillId="0" borderId="3" xfId="0" applyFont="1" applyBorder="1" applyAlignment="1">
      <alignment wrapText="1"/>
    </xf>
    <xf numFmtId="0" fontId="49" fillId="0" borderId="3" xfId="0" applyFont="1" applyBorder="1" applyAlignment="1">
      <alignment wrapText="1"/>
    </xf>
    <xf numFmtId="0" fontId="11" fillId="5" borderId="3" xfId="0" quotePrefix="1" applyFont="1" applyFill="1" applyBorder="1" applyAlignment="1">
      <alignment wrapText="1"/>
    </xf>
    <xf numFmtId="0" fontId="38" fillId="5" borderId="3" xfId="0" applyFont="1" applyFill="1" applyBorder="1" applyAlignment="1">
      <alignment wrapText="1"/>
    </xf>
    <xf numFmtId="0" fontId="42" fillId="5" borderId="3" xfId="0" applyFont="1" applyFill="1" applyBorder="1" applyAlignment="1">
      <alignment wrapText="1"/>
    </xf>
    <xf numFmtId="0" fontId="21" fillId="12" borderId="3" xfId="3" applyFont="1" applyFill="1" applyBorder="1" applyAlignment="1">
      <alignment horizontal="left" vertical="top"/>
    </xf>
    <xf numFmtId="0" fontId="28" fillId="14" borderId="3" xfId="3" applyFont="1" applyFill="1" applyBorder="1" applyAlignment="1">
      <alignment horizontal="left" vertical="center" wrapText="1"/>
    </xf>
    <xf numFmtId="0" fontId="22" fillId="0" borderId="3" xfId="3" applyFont="1" applyFill="1" applyBorder="1" applyAlignment="1">
      <alignment horizontal="left" vertical="top"/>
    </xf>
    <xf numFmtId="0" fontId="21" fillId="12" borderId="3" xfId="3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21" fillId="12" borderId="3" xfId="3" applyFont="1" applyFill="1" applyBorder="1" applyAlignment="1">
      <alignment horizontal="left" vertical="center" wrapText="1"/>
    </xf>
    <xf numFmtId="0" fontId="45" fillId="3" borderId="3" xfId="3" applyFont="1" applyFill="1" applyBorder="1" applyAlignment="1">
      <alignment horizontal="left" vertical="center" wrapText="1"/>
    </xf>
    <xf numFmtId="0" fontId="47" fillId="5" borderId="3" xfId="3" applyFont="1" applyFill="1" applyBorder="1" applyAlignment="1">
      <alignment horizontal="left" vertical="center" wrapText="1"/>
    </xf>
    <xf numFmtId="0" fontId="23" fillId="3" borderId="3" xfId="3" applyFont="1" applyFill="1" applyBorder="1" applyAlignment="1">
      <alignment horizontal="left" vertical="center" wrapText="1"/>
    </xf>
    <xf numFmtId="0" fontId="15" fillId="0" borderId="3" xfId="3" applyFont="1" applyFill="1" applyBorder="1" applyAlignment="1">
      <alignment horizontal="left" vertical="center" wrapText="1"/>
    </xf>
    <xf numFmtId="0" fontId="31" fillId="10" borderId="3" xfId="3" applyFont="1" applyFill="1" applyBorder="1" applyAlignment="1">
      <alignment horizontal="left" vertical="center" wrapText="1"/>
    </xf>
    <xf numFmtId="0" fontId="42" fillId="5" borderId="3" xfId="3" applyFont="1" applyFill="1" applyBorder="1" applyAlignment="1">
      <alignment horizontal="left" vertical="center" wrapText="1"/>
    </xf>
    <xf numFmtId="0" fontId="15" fillId="0" borderId="3" xfId="3" applyFont="1" applyFill="1" applyBorder="1" applyAlignment="1">
      <alignment horizontal="left" vertical="top" wrapText="1"/>
    </xf>
    <xf numFmtId="0" fontId="45" fillId="10" borderId="3" xfId="3" applyFont="1" applyFill="1" applyBorder="1" applyAlignment="1">
      <alignment horizontal="left" vertical="top" wrapText="1"/>
    </xf>
    <xf numFmtId="0" fontId="22" fillId="5" borderId="3" xfId="3" applyFont="1" applyFill="1" applyBorder="1" applyAlignment="1">
      <alignment horizontal="left" vertical="top" wrapText="1"/>
    </xf>
    <xf numFmtId="164" fontId="36" fillId="16" borderId="3" xfId="0" applyNumberFormat="1" applyFont="1" applyFill="1" applyBorder="1" applyAlignment="1">
      <alignment horizontal="right" vertical="center"/>
    </xf>
    <xf numFmtId="0" fontId="59" fillId="0" borderId="0" xfId="4" applyFont="1" applyFill="1" applyAlignment="1" applyProtection="1">
      <alignment horizontal="center"/>
    </xf>
    <xf numFmtId="0" fontId="59" fillId="0" borderId="0" xfId="5" applyFont="1" applyBorder="1" applyAlignment="1">
      <alignment horizontal="left" wrapText="1"/>
    </xf>
    <xf numFmtId="0" fontId="62" fillId="0" borderId="3" xfId="0" applyFont="1" applyFill="1" applyBorder="1" applyAlignment="1" applyProtection="1">
      <alignment horizontal="center" vertical="center" wrapText="1"/>
    </xf>
    <xf numFmtId="0" fontId="59" fillId="0" borderId="3" xfId="5" applyFont="1" applyBorder="1" applyAlignment="1">
      <alignment horizontal="center" wrapText="1"/>
    </xf>
    <xf numFmtId="0" fontId="58" fillId="0" borderId="5" xfId="0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3" xfId="0" applyBorder="1"/>
    <xf numFmtId="4" fontId="0" fillId="0" borderId="3" xfId="0" applyNumberFormat="1" applyBorder="1"/>
    <xf numFmtId="4" fontId="63" fillId="0" borderId="3" xfId="0" applyNumberFormat="1" applyFont="1" applyBorder="1"/>
    <xf numFmtId="49" fontId="17" fillId="5" borderId="3" xfId="2" applyNumberFormat="1" applyFont="1" applyFill="1" applyBorder="1" applyAlignment="1">
      <alignment horizontal="left" wrapText="1"/>
    </xf>
    <xf numFmtId="38" fontId="4" fillId="3" borderId="3" xfId="0" applyNumberFormat="1" applyFont="1" applyFill="1" applyBorder="1" applyAlignment="1">
      <alignment horizontal="center" vertical="center" wrapText="1"/>
    </xf>
    <xf numFmtId="38" fontId="4" fillId="0" borderId="0" xfId="0" applyNumberFormat="1" applyFont="1" applyAlignment="1">
      <alignment horizontal="center" vertical="center" wrapText="1"/>
    </xf>
    <xf numFmtId="38" fontId="4" fillId="4" borderId="0" xfId="0" applyNumberFormat="1" applyFont="1" applyFill="1" applyAlignment="1">
      <alignment horizontal="center" vertical="center" wrapText="1"/>
    </xf>
    <xf numFmtId="38" fontId="6" fillId="0" borderId="0" xfId="0" applyNumberFormat="1" applyFont="1" applyAlignment="1">
      <alignment horizontal="center" vertical="center" wrapText="1"/>
    </xf>
    <xf numFmtId="38" fontId="6" fillId="4" borderId="0" xfId="0" applyNumberFormat="1" applyFont="1" applyFill="1" applyAlignment="1">
      <alignment horizontal="center" vertical="center" wrapText="1"/>
    </xf>
    <xf numFmtId="38" fontId="6" fillId="6" borderId="0" xfId="0" applyNumberFormat="1" applyFont="1" applyFill="1" applyAlignment="1">
      <alignment horizontal="center" vertical="center" wrapText="1"/>
    </xf>
    <xf numFmtId="38" fontId="6" fillId="0" borderId="0" xfId="0" applyNumberFormat="1" applyFont="1" applyFill="1" applyAlignment="1">
      <alignment horizontal="center" vertical="center" wrapText="1"/>
    </xf>
    <xf numFmtId="38" fontId="6" fillId="3" borderId="0" xfId="0" applyNumberFormat="1" applyFont="1" applyFill="1" applyAlignment="1">
      <alignment horizontal="center" vertical="center" wrapText="1"/>
    </xf>
    <xf numFmtId="38" fontId="8" fillId="7" borderId="0" xfId="0" applyNumberFormat="1" applyFont="1" applyFill="1" applyAlignment="1">
      <alignment horizontal="center" vertical="center" wrapText="1"/>
    </xf>
    <xf numFmtId="38" fontId="64" fillId="0" borderId="0" xfId="0" applyNumberFormat="1" applyFont="1" applyAlignment="1">
      <alignment horizontal="center" vertical="center" wrapText="1"/>
    </xf>
    <xf numFmtId="38" fontId="9" fillId="0" borderId="0" xfId="0" applyNumberFormat="1" applyFont="1" applyAlignment="1">
      <alignment horizontal="center" vertical="center" wrapText="1"/>
    </xf>
    <xf numFmtId="0" fontId="65" fillId="0" borderId="3" xfId="0" applyFont="1" applyFill="1" applyBorder="1" applyAlignment="1">
      <alignment horizontal="right" vertical="center" wrapText="1"/>
    </xf>
    <xf numFmtId="0" fontId="66" fillId="0" borderId="3" xfId="0" applyFont="1" applyFill="1" applyBorder="1" applyAlignment="1">
      <alignment wrapText="1"/>
    </xf>
    <xf numFmtId="0" fontId="66" fillId="5" borderId="3" xfId="0" applyFont="1" applyFill="1" applyBorder="1"/>
    <xf numFmtId="0" fontId="67" fillId="5" borderId="3" xfId="0" applyFont="1" applyFill="1" applyBorder="1" applyAlignment="1">
      <alignment wrapText="1"/>
    </xf>
    <xf numFmtId="0" fontId="67" fillId="0" borderId="3" xfId="3" applyFont="1" applyFill="1" applyBorder="1" applyAlignment="1">
      <alignment horizontal="left" vertical="top" wrapText="1"/>
    </xf>
    <xf numFmtId="164" fontId="67" fillId="0" borderId="3" xfId="0" applyNumberFormat="1" applyFont="1" applyFill="1" applyBorder="1" applyAlignment="1">
      <alignment wrapText="1"/>
    </xf>
    <xf numFmtId="164" fontId="67" fillId="5" borderId="3" xfId="0" applyNumberFormat="1" applyFont="1" applyFill="1" applyBorder="1"/>
    <xf numFmtId="0" fontId="11" fillId="3" borderId="3" xfId="0" applyFont="1" applyFill="1" applyBorder="1"/>
    <xf numFmtId="164" fontId="40" fillId="3" borderId="3" xfId="0" applyNumberFormat="1" applyFont="1" applyFill="1" applyBorder="1"/>
    <xf numFmtId="0" fontId="11" fillId="25" borderId="3" xfId="0" applyFont="1" applyFill="1" applyBorder="1"/>
    <xf numFmtId="164" fontId="50" fillId="25" borderId="3" xfId="0" applyNumberFormat="1" applyFont="1" applyFill="1" applyBorder="1"/>
    <xf numFmtId="0" fontId="50" fillId="3" borderId="3" xfId="0" applyFont="1" applyFill="1" applyBorder="1" applyAlignment="1">
      <alignment horizontal="center" vertical="center"/>
    </xf>
    <xf numFmtId="164" fontId="50" fillId="3" borderId="3" xfId="0" applyNumberFormat="1" applyFont="1" applyFill="1" applyBorder="1"/>
    <xf numFmtId="164" fontId="40" fillId="0" borderId="3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 wrapText="1"/>
    </xf>
    <xf numFmtId="164" fontId="36" fillId="0" borderId="0" xfId="0" applyNumberFormat="1" applyFont="1" applyFill="1" applyBorder="1" applyAlignment="1">
      <alignment horizontal="right" vertical="center"/>
    </xf>
    <xf numFmtId="0" fontId="49" fillId="0" borderId="3" xfId="0" applyFont="1" applyFill="1" applyBorder="1"/>
    <xf numFmtId="0" fontId="69" fillId="0" borderId="3" xfId="3" applyFont="1" applyFill="1" applyBorder="1" applyAlignment="1">
      <alignment horizontal="left" vertical="top" wrapText="1"/>
    </xf>
    <xf numFmtId="0" fontId="49" fillId="0" borderId="0" xfId="0" applyFont="1" applyFill="1" applyAlignment="1">
      <alignment horizontal="center"/>
    </xf>
    <xf numFmtId="0" fontId="49" fillId="0" borderId="0" xfId="0" applyFont="1" applyFill="1"/>
    <xf numFmtId="0" fontId="49" fillId="0" borderId="3" xfId="0" applyFont="1" applyFill="1" applyBorder="1" applyAlignment="1">
      <alignment horizontal="left" vertical="center"/>
    </xf>
    <xf numFmtId="164" fontId="49" fillId="0" borderId="3" xfId="0" applyNumberFormat="1" applyFont="1" applyFill="1" applyBorder="1"/>
    <xf numFmtId="0" fontId="50" fillId="6" borderId="3" xfId="0" applyFont="1" applyFill="1" applyBorder="1"/>
    <xf numFmtId="0" fontId="70" fillId="6" borderId="3" xfId="3" applyFont="1" applyFill="1" applyBorder="1" applyAlignment="1">
      <alignment horizontal="left" vertical="top" wrapText="1"/>
    </xf>
    <xf numFmtId="164" fontId="50" fillId="6" borderId="3" xfId="0" applyNumberFormat="1" applyFont="1" applyFill="1" applyBorder="1"/>
    <xf numFmtId="0" fontId="50" fillId="6" borderId="3" xfId="0" applyFont="1" applyFill="1" applyBorder="1" applyAlignment="1">
      <alignment horizontal="center"/>
    </xf>
    <xf numFmtId="0" fontId="22" fillId="9" borderId="3" xfId="3" applyFont="1" applyFill="1" applyBorder="1" applyAlignment="1">
      <alignment horizontal="left" vertical="top" wrapText="1"/>
    </xf>
    <xf numFmtId="164" fontId="40" fillId="9" borderId="3" xfId="0" applyNumberFormat="1" applyFont="1" applyFill="1" applyBorder="1"/>
    <xf numFmtId="164" fontId="50" fillId="9" borderId="3" xfId="0" applyNumberFormat="1" applyFont="1" applyFill="1" applyBorder="1"/>
    <xf numFmtId="0" fontId="71" fillId="0" borderId="0" xfId="0" applyFont="1" applyAlignment="1">
      <alignment horizontal="center" vertical="center"/>
    </xf>
    <xf numFmtId="164" fontId="71" fillId="0" borderId="0" xfId="0" applyNumberFormat="1" applyFont="1" applyBorder="1"/>
    <xf numFmtId="0" fontId="50" fillId="3" borderId="3" xfId="0" applyFont="1" applyFill="1" applyBorder="1" applyAlignment="1">
      <alignment horizontal="left" vertical="center"/>
    </xf>
    <xf numFmtId="0" fontId="22" fillId="3" borderId="3" xfId="3" applyFont="1" applyFill="1" applyBorder="1" applyAlignment="1">
      <alignment horizontal="left" vertical="center" wrapText="1"/>
    </xf>
    <xf numFmtId="0" fontId="22" fillId="0" borderId="3" xfId="3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164" fontId="40" fillId="0" borderId="3" xfId="0" applyNumberFormat="1" applyFont="1" applyBorder="1" applyAlignment="1">
      <alignment horizontal="right" vertical="center"/>
    </xf>
    <xf numFmtId="0" fontId="24" fillId="20" borderId="3" xfId="0" applyFont="1" applyFill="1" applyBorder="1" applyAlignment="1">
      <alignment horizontal="right"/>
    </xf>
    <xf numFmtId="0" fontId="11" fillId="20" borderId="3" xfId="0" applyFont="1" applyFill="1" applyBorder="1"/>
    <xf numFmtId="0" fontId="50" fillId="25" borderId="3" xfId="0" applyFont="1" applyFill="1" applyBorder="1" applyAlignment="1">
      <alignment horizontal="left"/>
    </xf>
    <xf numFmtId="0" fontId="55" fillId="10" borderId="9" xfId="0" applyFont="1" applyFill="1" applyBorder="1" applyAlignment="1">
      <alignment horizontal="center" vertical="center" wrapText="1"/>
    </xf>
    <xf numFmtId="0" fontId="55" fillId="10" borderId="10" xfId="0" applyFont="1" applyFill="1" applyBorder="1" applyAlignment="1">
      <alignment horizontal="center" vertical="center" wrapText="1"/>
    </xf>
    <xf numFmtId="0" fontId="56" fillId="20" borderId="11" xfId="0" applyFont="1" applyFill="1" applyBorder="1" applyAlignment="1">
      <alignment horizontal="center" vertical="center" wrapText="1"/>
    </xf>
    <xf numFmtId="0" fontId="56" fillId="20" borderId="12" xfId="0" applyFont="1" applyFill="1" applyBorder="1" applyAlignment="1">
      <alignment horizontal="center" vertical="center" wrapText="1"/>
    </xf>
    <xf numFmtId="4" fontId="61" fillId="0" borderId="0" xfId="5" applyNumberFormat="1" applyFont="1" applyAlignment="1">
      <alignment horizontal="center" wrapText="1"/>
    </xf>
    <xf numFmtId="0" fontId="3" fillId="2" borderId="2" xfId="1" applyFont="1" applyBorder="1" applyAlignment="1">
      <alignment horizontal="center" vertical="center" wrapText="1"/>
    </xf>
    <xf numFmtId="0" fontId="3" fillId="2" borderId="0" xfId="1" applyFont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164" fontId="40" fillId="0" borderId="19" xfId="0" applyNumberFormat="1" applyFont="1" applyFill="1" applyBorder="1" applyAlignment="1">
      <alignment horizontal="right" vertical="center" wrapText="1"/>
    </xf>
    <xf numFmtId="164" fontId="40" fillId="0" borderId="20" xfId="0" applyNumberFormat="1" applyFont="1" applyFill="1" applyBorder="1" applyAlignment="1">
      <alignment horizontal="right" vertical="center" wrapText="1"/>
    </xf>
    <xf numFmtId="164" fontId="40" fillId="0" borderId="21" xfId="0" applyNumberFormat="1" applyFont="1" applyFill="1" applyBorder="1" applyAlignment="1">
      <alignment horizontal="right" vertical="center" wrapText="1"/>
    </xf>
    <xf numFmtId="164" fontId="67" fillId="0" borderId="19" xfId="0" applyNumberFormat="1" applyFont="1" applyFill="1" applyBorder="1" applyAlignment="1">
      <alignment horizontal="right" vertical="center" wrapText="1"/>
    </xf>
    <xf numFmtId="164" fontId="67" fillId="0" borderId="20" xfId="0" applyNumberFormat="1" applyFont="1" applyFill="1" applyBorder="1" applyAlignment="1">
      <alignment horizontal="right" vertical="center" wrapText="1"/>
    </xf>
    <xf numFmtId="164" fontId="67" fillId="0" borderId="21" xfId="0" applyNumberFormat="1" applyFont="1" applyFill="1" applyBorder="1" applyAlignment="1">
      <alignment horizontal="right" vertical="center" wrapText="1"/>
    </xf>
    <xf numFmtId="0" fontId="13" fillId="16" borderId="3" xfId="0" applyFont="1" applyFill="1" applyBorder="1" applyAlignment="1">
      <alignment horizontal="left" vertical="center" wrapText="1"/>
    </xf>
    <xf numFmtId="0" fontId="13" fillId="16" borderId="3" xfId="0" applyFont="1" applyFill="1" applyBorder="1" applyAlignment="1">
      <alignment horizontal="left"/>
    </xf>
    <xf numFmtId="0" fontId="32" fillId="8" borderId="0" xfId="0" applyFont="1" applyFill="1" applyAlignment="1">
      <alignment horizontal="left" vertical="center"/>
    </xf>
    <xf numFmtId="0" fontId="12" fillId="10" borderId="17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2" fillId="10" borderId="22" xfId="0" applyFont="1" applyFill="1" applyBorder="1" applyAlignment="1">
      <alignment horizontal="center" vertical="center" wrapText="1"/>
    </xf>
    <xf numFmtId="0" fontId="33" fillId="11" borderId="3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 wrapText="1"/>
    </xf>
    <xf numFmtId="0" fontId="8" fillId="7" borderId="0" xfId="0" applyFont="1" applyFill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0" fontId="3" fillId="2" borderId="6" xfId="1" applyFont="1" applyBorder="1" applyAlignment="1">
      <alignment horizontal="center" vertical="center" wrapText="1"/>
    </xf>
    <xf numFmtId="0" fontId="3" fillId="2" borderId="7" xfId="1" applyFont="1" applyBorder="1" applyAlignment="1">
      <alignment horizontal="center" vertical="center" wrapText="1"/>
    </xf>
    <xf numFmtId="0" fontId="3" fillId="2" borderId="8" xfId="1" applyFont="1" applyBorder="1" applyAlignment="1">
      <alignment horizontal="center" vertical="center" wrapText="1"/>
    </xf>
    <xf numFmtId="164" fontId="50" fillId="20" borderId="3" xfId="0" applyNumberFormat="1" applyFont="1" applyFill="1" applyBorder="1" applyAlignment="1">
      <alignment horizontal="right" vertical="center"/>
    </xf>
    <xf numFmtId="0" fontId="6" fillId="23" borderId="0" xfId="0" applyFont="1" applyFill="1" applyAlignment="1">
      <alignment horizontal="center" vertical="center" wrapText="1"/>
    </xf>
    <xf numFmtId="0" fontId="6" fillId="23" borderId="0" xfId="0" applyFont="1" applyFill="1" applyAlignment="1">
      <alignment horizontal="left" vertical="center" wrapText="1"/>
    </xf>
    <xf numFmtId="164" fontId="4" fillId="23" borderId="0" xfId="0" applyNumberFormat="1" applyFont="1" applyFill="1" applyAlignment="1">
      <alignment horizontal="right" vertical="center" wrapText="1"/>
    </xf>
    <xf numFmtId="0" fontId="11" fillId="0" borderId="0" xfId="0" applyFont="1" applyBorder="1"/>
    <xf numFmtId="164" fontId="11" fillId="0" borderId="0" xfId="0" applyNumberFormat="1" applyFont="1" applyFill="1"/>
    <xf numFmtId="0" fontId="4" fillId="20" borderId="3" xfId="0" applyFont="1" applyFill="1" applyBorder="1" applyAlignment="1">
      <alignment vertical="center" wrapText="1"/>
    </xf>
    <xf numFmtId="0" fontId="72" fillId="5" borderId="0" xfId="0" applyFont="1" applyFill="1" applyBorder="1" applyAlignment="1">
      <alignment wrapText="1"/>
    </xf>
  </cellXfs>
  <cellStyles count="6">
    <cellStyle name="Check Cell" xfId="1" builtinId="23"/>
    <cellStyle name="Normal" xfId="0" builtinId="0"/>
    <cellStyle name="Normal 2" xfId="3"/>
    <cellStyle name="Normal 26" xfId="4"/>
    <cellStyle name="Normal 31" xfId="5"/>
    <cellStyle name="Obično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workbookViewId="0">
      <selection activeCell="D21" sqref="D21"/>
    </sheetView>
  </sheetViews>
  <sheetFormatPr defaultRowHeight="15" x14ac:dyDescent="0.25"/>
  <cols>
    <col min="4" max="4" width="56.5703125" customWidth="1"/>
    <col min="5" max="5" width="23.42578125" customWidth="1"/>
    <col min="7" max="7" width="9.5703125" bestFit="1" customWidth="1"/>
    <col min="8" max="8" width="10.28515625" bestFit="1" customWidth="1"/>
  </cols>
  <sheetData>
    <row r="2" spans="2:8" ht="15.75" thickBot="1" x14ac:dyDescent="0.3">
      <c r="B2" t="s">
        <v>326</v>
      </c>
    </row>
    <row r="3" spans="2:8" ht="15.75" x14ac:dyDescent="0.25">
      <c r="B3" s="357" t="s">
        <v>400</v>
      </c>
      <c r="C3" s="358"/>
      <c r="D3" s="358"/>
      <c r="E3" s="358"/>
    </row>
    <row r="4" spans="2:8" ht="22.5" x14ac:dyDescent="0.25">
      <c r="B4" s="359"/>
      <c r="C4" s="360"/>
      <c r="D4" s="221" t="s">
        <v>293</v>
      </c>
      <c r="E4" s="222" t="s">
        <v>390</v>
      </c>
    </row>
    <row r="5" spans="2:8" x14ac:dyDescent="0.25">
      <c r="B5" s="359">
        <v>1</v>
      </c>
      <c r="C5" s="360"/>
      <c r="D5" s="223">
        <v>2</v>
      </c>
      <c r="E5" s="224"/>
    </row>
    <row r="6" spans="2:8" x14ac:dyDescent="0.25">
      <c r="B6" s="225"/>
      <c r="C6" s="226" t="s">
        <v>294</v>
      </c>
      <c r="D6" s="227" t="s">
        <v>295</v>
      </c>
      <c r="E6" s="228">
        <f>'ОРГАНИЗАЦИОНА 2019 6'!G18+'ОРГАНИЗАЦИОНА 2019 6'!G66+'ОРГАНИЗАЦИОНА 2019 6'!G64+'ОРГАНИЗАЦИОНА 2019 6'!G99+'ОРГАНИЗАЦИОНА 2019 6'!G110+'ОРГАНИЗАЦИОНА 2019 6'!G111+'ОРГАНИЗАЦИОНА 2019 6'!G112+1348722-'ОРГАНИЗАЦИОНА 2019 6'!G126-'ОРГАНИЗАЦИОНА 2019 6'!G148</f>
        <v>2751600</v>
      </c>
    </row>
    <row r="7" spans="2:8" x14ac:dyDescent="0.25">
      <c r="B7" s="225"/>
      <c r="C7" s="226" t="s">
        <v>296</v>
      </c>
      <c r="D7" s="227" t="s">
        <v>297</v>
      </c>
      <c r="E7" s="228">
        <v>0</v>
      </c>
      <c r="G7" s="233"/>
    </row>
    <row r="8" spans="2:8" x14ac:dyDescent="0.25">
      <c r="B8" s="225"/>
      <c r="C8" s="226" t="s">
        <v>298</v>
      </c>
      <c r="D8" s="227" t="s">
        <v>299</v>
      </c>
      <c r="E8" s="228">
        <f>'ОРГАНИЗАЦИОНА 2019 6'!G84</f>
        <v>50000</v>
      </c>
    </row>
    <row r="9" spans="2:8" x14ac:dyDescent="0.25">
      <c r="B9" s="225"/>
      <c r="C9" s="226" t="s">
        <v>300</v>
      </c>
      <c r="D9" s="227" t="s">
        <v>301</v>
      </c>
      <c r="E9" s="228">
        <f>'ОРГАНИЗАЦИОНА 2019 6'!G8+'ОРГАНИЗАЦИОНА 2019 6'!G10+'ОРГАНИЗАЦИОНА 2019 6'!G12+'ОРГАНИЗАЦИОНА 2019 6'!G15+'ОРГАНИЗАЦИОНА 2019 6'!G35+'ОРГАНИЗАЦИОНА 2019 6'!G42+'ОРГАНИЗАЦИОНА 2019 6'!G45+'ОРГАНИЗАЦИОНА 2019 6'!G47+'ОРГАНИЗАЦИОНА 2019 6'!G49+'ОРГАНИЗАЦИОНА 2019 6'!G105+'ОРГАНИЗАЦИОНА 2019 6'!G106+'ОРГАНИЗАЦИОНА 2019 6'!G107+'ОРГАНИЗАЦИОНА 2019 6'!G108+'ОРГАНИЗАЦИОНА 2019 6'!G109+'ОРГАНИЗАЦИОНА 2019 6'!G116+'ОРГАНИЗАЦИОНА 2019 6'!G133+'ОРГАНИЗАЦИОНА 2019 6'!G155+'ОРГАНИЗАЦИОНА 2019 6'!G157+'ОРГАНИЗАЦИОНА 2019 6'!G222+'ОРГАНИЗАЦИОНА 2019 6'!G236+'ОРГАНИЗАЦИОНА 2019 6'!G238+'ОРГАНИЗАЦИОНА 2019 6'!G244</f>
        <v>1255300</v>
      </c>
    </row>
    <row r="10" spans="2:8" x14ac:dyDescent="0.25">
      <c r="B10" s="225"/>
      <c r="C10" s="226" t="s">
        <v>346</v>
      </c>
      <c r="D10" s="227" t="s">
        <v>302</v>
      </c>
      <c r="E10" s="228">
        <f>'ОРГАНИЗАЦИОНА 2019 6'!G247</f>
        <v>284000</v>
      </c>
    </row>
    <row r="11" spans="2:8" x14ac:dyDescent="0.25">
      <c r="B11" s="225"/>
      <c r="C11" s="226" t="s">
        <v>303</v>
      </c>
      <c r="D11" s="227" t="s">
        <v>304</v>
      </c>
      <c r="E11" s="228">
        <f>'ОРГАНИЗАЦИОНА 2019 6'!G261</f>
        <v>2818000</v>
      </c>
    </row>
    <row r="12" spans="2:8" x14ac:dyDescent="0.25">
      <c r="B12" s="225"/>
      <c r="C12" s="226" t="s">
        <v>305</v>
      </c>
      <c r="D12" s="227" t="s">
        <v>306</v>
      </c>
      <c r="E12" s="228">
        <f>'ОРГАНИЗАЦИОНА 2019 6'!G210</f>
        <v>550000</v>
      </c>
      <c r="H12" s="233"/>
    </row>
    <row r="13" spans="2:8" x14ac:dyDescent="0.25">
      <c r="B13" s="225"/>
      <c r="C13" s="226" t="s">
        <v>307</v>
      </c>
      <c r="D13" s="227" t="s">
        <v>308</v>
      </c>
      <c r="E13" s="228">
        <f>'ОРГАНИЗАЦИОНА 2019 6'!G175+'ОРГАНИЗАЦИОНА 2019 6'!G176+'ОРГАНИЗАЦИОНА 2019 6'!G177+'ОРГАНИЗАЦИОНА 2019 6'!G178+'ОРГАНИЗАЦИОНА 2019 6'!G179+'ОРГАНИЗАЦИОНА 2019 6'!G182+'ОРГАНИЗАЦИОНА 2019 6'!G183+'ОРГАНИЗАЦИОНА 2019 6'!G184+'ОРГАНИЗАЦИОНА 2019 6'!G185+'ОРГАНИЗАЦИОНА 2019 6'!G186+'ОРГАНИЗАЦИОНА 2019 6'!G187+'ОРГАНИЗАЦИОНА 2019 6'!G188+'ОРГАНИЗАЦИОНА 2019 6'!G194+'ОРГАНИЗАЦИОНА 2019 6'!G193+'ОРГАНИЗАЦИОНА 2019 6'!G200+'ОРГАНИЗАЦИОНА 2019 6'!G201+'ОРГАНИЗАЦИОНА 2019 6'!G202+'ОРГАНИЗАЦИОНА 2019 6'!G203+'ОРГАНИЗАЦИОНА 2019 6'!G204+'ОРГАНИЗАЦИОНА 2019 6'!G205+'ОРГАНИЗАЦИОНА 2019 6'!G214+'ОРГАНИЗАЦИОНА 2019 6'!G315+'ОРГАНИЗАЦИОНА 2019 6'!G333</f>
        <v>568310</v>
      </c>
    </row>
    <row r="14" spans="2:8" x14ac:dyDescent="0.25">
      <c r="B14" s="225"/>
      <c r="C14" s="226" t="s">
        <v>309</v>
      </c>
      <c r="D14" s="227" t="s">
        <v>310</v>
      </c>
      <c r="E14" s="228">
        <f>'ОРГАНИЗАЦИОНА 2019 6'!G212+'ОРГАНИЗАЦИОНА 2019 6'!G266</f>
        <v>190000</v>
      </c>
      <c r="H14" s="233"/>
    </row>
    <row r="15" spans="2:8" x14ac:dyDescent="0.25">
      <c r="B15" s="225"/>
      <c r="C15" s="226">
        <v>10</v>
      </c>
      <c r="D15" s="227" t="s">
        <v>97</v>
      </c>
      <c r="E15" s="228">
        <f>'ОРГАНИЗАЦИОНА 2019 6'!G293+'ОРГАНИЗАЦИОНА 2019 6'!G161+'ОРГАНИЗАЦИОНА 2019 6'!G141</f>
        <v>1288000</v>
      </c>
    </row>
    <row r="16" spans="2:8" ht="15.75" thickBot="1" x14ac:dyDescent="0.3">
      <c r="B16" s="229"/>
      <c r="C16" s="230"/>
      <c r="D16" s="231" t="s">
        <v>311</v>
      </c>
      <c r="E16" s="232">
        <f>SUM(E6:E15)</f>
        <v>9755210</v>
      </c>
    </row>
    <row r="17" spans="2:7" x14ac:dyDescent="0.25">
      <c r="E17" s="233"/>
    </row>
    <row r="19" spans="2:7" ht="15.75" x14ac:dyDescent="0.25">
      <c r="B19" s="296" t="s">
        <v>328</v>
      </c>
      <c r="C19" s="297"/>
      <c r="D19" s="361"/>
      <c r="E19" s="361"/>
    </row>
    <row r="20" spans="2:7" ht="31.5" x14ac:dyDescent="0.25">
      <c r="B20" s="298" t="s">
        <v>329</v>
      </c>
      <c r="C20" s="298" t="s">
        <v>330</v>
      </c>
      <c r="D20" s="299" t="s">
        <v>401</v>
      </c>
      <c r="E20" s="299" t="s">
        <v>402</v>
      </c>
      <c r="F20" s="241"/>
      <c r="G20" s="241"/>
    </row>
    <row r="21" spans="2:7" ht="15.75" x14ac:dyDescent="0.25">
      <c r="B21" s="300">
        <v>1</v>
      </c>
      <c r="C21" s="298">
        <v>2</v>
      </c>
      <c r="D21" s="298">
        <v>3</v>
      </c>
      <c r="E21" s="298">
        <v>4</v>
      </c>
      <c r="F21" s="241"/>
      <c r="G21" s="241"/>
    </row>
    <row r="22" spans="2:7" x14ac:dyDescent="0.25">
      <c r="B22" s="301" t="s">
        <v>331</v>
      </c>
      <c r="C22" s="302" t="s">
        <v>332</v>
      </c>
      <c r="D22" s="303"/>
      <c r="E22" s="303">
        <f>E6+E7+E8+E9+E10+E11+E13</f>
        <v>7727210</v>
      </c>
      <c r="F22" s="241"/>
      <c r="G22" s="241"/>
    </row>
    <row r="23" spans="2:7" x14ac:dyDescent="0.25">
      <c r="B23" s="301" t="s">
        <v>333</v>
      </c>
      <c r="C23" s="302" t="s">
        <v>334</v>
      </c>
      <c r="D23" s="303"/>
      <c r="E23" s="303">
        <f>E15+E14+E12</f>
        <v>2028000</v>
      </c>
      <c r="F23" s="241"/>
      <c r="G23" s="241"/>
    </row>
    <row r="24" spans="2:7" ht="31.5" x14ac:dyDescent="0.25">
      <c r="B24" s="302"/>
      <c r="C24" s="298" t="s">
        <v>335</v>
      </c>
      <c r="D24" s="304">
        <f>D22+D23</f>
        <v>0</v>
      </c>
      <c r="E24" s="304">
        <f t="shared" ref="E24" si="0">E22+E23</f>
        <v>9755210</v>
      </c>
      <c r="F24" s="241"/>
      <c r="G24" s="241"/>
    </row>
    <row r="25" spans="2:7" x14ac:dyDescent="0.25">
      <c r="B25" s="241"/>
      <c r="C25" s="241"/>
      <c r="D25" s="241"/>
      <c r="E25" s="241"/>
      <c r="F25" s="241"/>
      <c r="G25" s="241"/>
    </row>
  </sheetData>
  <mergeCells count="4">
    <mergeCell ref="B3:E3"/>
    <mergeCell ref="B4:C4"/>
    <mergeCell ref="B5:C5"/>
    <mergeCell ref="D19:E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7"/>
  <sheetViews>
    <sheetView workbookViewId="0">
      <selection activeCell="E12" sqref="E12"/>
    </sheetView>
  </sheetViews>
  <sheetFormatPr defaultColWidth="9.140625" defaultRowHeight="12.75" x14ac:dyDescent="0.25"/>
  <cols>
    <col min="1" max="1" width="9.140625" style="1"/>
    <col min="2" max="2" width="15" style="1" customWidth="1"/>
    <col min="3" max="3" width="47.28515625" style="4" customWidth="1"/>
    <col min="4" max="4" width="12.85546875" style="5" customWidth="1"/>
    <col min="5" max="6" width="12.7109375" style="5" customWidth="1"/>
    <col min="7" max="7" width="10.28515625" style="1" customWidth="1"/>
    <col min="8" max="16384" width="9.140625" style="1"/>
  </cols>
  <sheetData>
    <row r="2" spans="2:6" ht="43.5" customHeight="1" x14ac:dyDescent="0.25">
      <c r="B2" s="362" t="s">
        <v>394</v>
      </c>
      <c r="C2" s="363"/>
      <c r="D2" s="363"/>
      <c r="E2" s="363"/>
      <c r="F2" s="363"/>
    </row>
    <row r="4" spans="2:6" ht="25.5" x14ac:dyDescent="0.25">
      <c r="B4" s="162" t="s">
        <v>0</v>
      </c>
      <c r="C4" s="162" t="s">
        <v>1</v>
      </c>
      <c r="D4" s="163" t="s">
        <v>395</v>
      </c>
      <c r="E4" s="163" t="s">
        <v>396</v>
      </c>
      <c r="F4" s="163" t="s">
        <v>47</v>
      </c>
    </row>
    <row r="5" spans="2:6" x14ac:dyDescent="0.25">
      <c r="B5" s="1">
        <v>1</v>
      </c>
      <c r="C5" s="1">
        <v>2</v>
      </c>
      <c r="D5" s="2">
        <v>3</v>
      </c>
      <c r="E5" s="2">
        <v>4</v>
      </c>
      <c r="F5" s="2">
        <v>5</v>
      </c>
    </row>
    <row r="7" spans="2:6" x14ac:dyDescent="0.25">
      <c r="B7" s="164"/>
      <c r="C7" s="165" t="s">
        <v>312</v>
      </c>
      <c r="D7" s="166">
        <v>0</v>
      </c>
      <c r="E7" s="166">
        <f>E9-E17</f>
        <v>-55079</v>
      </c>
      <c r="F7" s="166">
        <v>0</v>
      </c>
    </row>
    <row r="9" spans="2:6" x14ac:dyDescent="0.25">
      <c r="B9" s="364" t="s">
        <v>313</v>
      </c>
      <c r="C9" s="364"/>
      <c r="D9" s="168">
        <f>D11-D14</f>
        <v>0</v>
      </c>
      <c r="E9" s="168">
        <f>E11-E14</f>
        <v>0</v>
      </c>
      <c r="F9" s="168">
        <f>F11-F14</f>
        <v>0</v>
      </c>
    </row>
    <row r="11" spans="2:6" x14ac:dyDescent="0.25">
      <c r="B11" s="1">
        <v>911</v>
      </c>
      <c r="C11" s="4" t="s">
        <v>314</v>
      </c>
      <c r="D11" s="5">
        <v>0</v>
      </c>
      <c r="E11" s="5">
        <v>0</v>
      </c>
      <c r="F11" s="5">
        <v>0</v>
      </c>
    </row>
    <row r="12" spans="2:6" s="8" customFormat="1" ht="14.25" customHeight="1" x14ac:dyDescent="0.25">
      <c r="B12" s="185">
        <v>9114</v>
      </c>
      <c r="C12" s="186" t="s">
        <v>315</v>
      </c>
      <c r="D12" s="187">
        <v>0</v>
      </c>
      <c r="E12" s="187">
        <v>0</v>
      </c>
      <c r="F12" s="187">
        <v>0</v>
      </c>
    </row>
    <row r="13" spans="2:6" s="9" customFormat="1" x14ac:dyDescent="0.25">
      <c r="C13" s="8"/>
      <c r="D13" s="7"/>
      <c r="E13" s="7"/>
      <c r="F13" s="7"/>
    </row>
    <row r="14" spans="2:6" s="21" customFormat="1" ht="14.25" customHeight="1" x14ac:dyDescent="0.25">
      <c r="B14" s="217">
        <v>611</v>
      </c>
      <c r="C14" s="214" t="s">
        <v>316</v>
      </c>
      <c r="D14" s="20">
        <v>0</v>
      </c>
      <c r="E14" s="20">
        <v>0</v>
      </c>
      <c r="F14" s="20">
        <v>0</v>
      </c>
    </row>
    <row r="15" spans="2:6" s="185" customFormat="1" x14ac:dyDescent="0.25">
      <c r="B15" s="185">
        <v>6114</v>
      </c>
      <c r="C15" s="186" t="s">
        <v>317</v>
      </c>
      <c r="D15" s="187">
        <v>0</v>
      </c>
      <c r="E15" s="187">
        <v>0</v>
      </c>
      <c r="F15" s="187">
        <v>0</v>
      </c>
    </row>
    <row r="17" spans="2:6" s="9" customFormat="1" x14ac:dyDescent="0.25">
      <c r="B17" s="364" t="s">
        <v>257</v>
      </c>
      <c r="C17" s="364"/>
      <c r="D17" s="168">
        <f>D19-D22</f>
        <v>0</v>
      </c>
      <c r="E17" s="168">
        <f>E19+E22</f>
        <v>55079</v>
      </c>
      <c r="F17" s="168">
        <f>F19-F22</f>
        <v>0</v>
      </c>
    </row>
    <row r="18" spans="2:6" s="9" customFormat="1" x14ac:dyDescent="0.25">
      <c r="C18" s="8"/>
      <c r="D18" s="7"/>
      <c r="E18" s="7"/>
      <c r="F18" s="7"/>
    </row>
    <row r="19" spans="2:6" x14ac:dyDescent="0.25">
      <c r="B19" s="1">
        <v>921</v>
      </c>
      <c r="C19" s="4" t="s">
        <v>318</v>
      </c>
      <c r="D19" s="5">
        <v>0</v>
      </c>
      <c r="E19" s="5">
        <v>0</v>
      </c>
      <c r="F19" s="5">
        <v>0</v>
      </c>
    </row>
    <row r="20" spans="2:6" s="9" customFormat="1" x14ac:dyDescent="0.25">
      <c r="B20" s="9">
        <v>9212</v>
      </c>
      <c r="C20" s="8" t="s">
        <v>319</v>
      </c>
      <c r="D20" s="7">
        <v>0</v>
      </c>
      <c r="E20" s="7">
        <v>0</v>
      </c>
      <c r="F20" s="7">
        <v>0</v>
      </c>
    </row>
    <row r="21" spans="2:6" s="9" customFormat="1" x14ac:dyDescent="0.25">
      <c r="C21" s="8"/>
      <c r="D21" s="7"/>
      <c r="E21" s="7"/>
      <c r="F21" s="7"/>
    </row>
    <row r="22" spans="2:6" s="22" customFormat="1" x14ac:dyDescent="0.25">
      <c r="B22" s="22">
        <v>621</v>
      </c>
      <c r="C22" s="19" t="s">
        <v>320</v>
      </c>
      <c r="D22" s="20">
        <v>0</v>
      </c>
      <c r="E22" s="20">
        <f>E23</f>
        <v>55079</v>
      </c>
      <c r="F22" s="20">
        <v>0</v>
      </c>
    </row>
    <row r="23" spans="2:6" s="21" customFormat="1" x14ac:dyDescent="0.25">
      <c r="B23" s="21">
        <v>6219</v>
      </c>
      <c r="C23" s="23" t="s">
        <v>321</v>
      </c>
      <c r="D23" s="24">
        <v>0</v>
      </c>
      <c r="E23" s="24">
        <v>55079</v>
      </c>
      <c r="F23" s="24">
        <v>0</v>
      </c>
    </row>
    <row r="24" spans="2:6" s="234" customFormat="1" x14ac:dyDescent="0.25">
      <c r="D24" s="20"/>
      <c r="E24" s="20"/>
      <c r="F24" s="20"/>
    </row>
    <row r="25" spans="2:6" s="234" customFormat="1" x14ac:dyDescent="0.25">
      <c r="D25" s="20"/>
      <c r="E25" s="20"/>
      <c r="F25" s="20"/>
    </row>
    <row r="26" spans="2:6" s="234" customFormat="1" x14ac:dyDescent="0.25">
      <c r="D26" s="20"/>
      <c r="E26" s="20"/>
      <c r="F26" s="20"/>
    </row>
    <row r="27" spans="2:6" s="234" customFormat="1" x14ac:dyDescent="0.25">
      <c r="D27" s="20"/>
      <c r="E27" s="20"/>
      <c r="F27" s="20"/>
    </row>
    <row r="28" spans="2:6" s="234" customFormat="1" x14ac:dyDescent="0.25">
      <c r="D28" s="20"/>
      <c r="E28" s="20"/>
      <c r="F28" s="20"/>
    </row>
    <row r="29" spans="2:6" s="234" customFormat="1" x14ac:dyDescent="0.25">
      <c r="D29" s="20"/>
      <c r="E29" s="20"/>
      <c r="F29" s="20"/>
    </row>
    <row r="30" spans="2:6" s="234" customFormat="1" x14ac:dyDescent="0.25">
      <c r="D30" s="20"/>
      <c r="E30" s="20"/>
      <c r="F30" s="20"/>
    </row>
    <row r="31" spans="2:6" s="234" customFormat="1" x14ac:dyDescent="0.25">
      <c r="D31" s="20"/>
      <c r="E31" s="20"/>
      <c r="F31" s="20"/>
    </row>
    <row r="32" spans="2:6" s="234" customFormat="1" x14ac:dyDescent="0.25">
      <c r="D32" s="20"/>
      <c r="E32" s="20"/>
      <c r="F32" s="20"/>
    </row>
    <row r="33" spans="4:6" s="234" customFormat="1" x14ac:dyDescent="0.25">
      <c r="D33" s="20"/>
      <c r="E33" s="20"/>
      <c r="F33" s="20"/>
    </row>
    <row r="34" spans="4:6" s="234" customFormat="1" x14ac:dyDescent="0.25">
      <c r="D34" s="20"/>
      <c r="E34" s="20"/>
      <c r="F34" s="20"/>
    </row>
    <row r="35" spans="4:6" s="234" customFormat="1" x14ac:dyDescent="0.25">
      <c r="D35" s="20"/>
      <c r="E35" s="20"/>
      <c r="F35" s="20"/>
    </row>
    <row r="36" spans="4:6" s="234" customFormat="1" x14ac:dyDescent="0.25">
      <c r="D36" s="20"/>
      <c r="E36" s="20"/>
      <c r="F36" s="20"/>
    </row>
    <row r="37" spans="4:6" s="234" customFormat="1" x14ac:dyDescent="0.25">
      <c r="D37" s="20"/>
      <c r="E37" s="20"/>
      <c r="F37" s="20"/>
    </row>
    <row r="38" spans="4:6" s="234" customFormat="1" x14ac:dyDescent="0.25">
      <c r="D38" s="20"/>
      <c r="E38" s="20"/>
      <c r="F38" s="20"/>
    </row>
    <row r="39" spans="4:6" s="234" customFormat="1" x14ac:dyDescent="0.25">
      <c r="D39" s="20"/>
      <c r="E39" s="20"/>
      <c r="F39" s="20"/>
    </row>
    <row r="40" spans="4:6" s="234" customFormat="1" x14ac:dyDescent="0.25">
      <c r="D40" s="20"/>
      <c r="E40" s="20"/>
      <c r="F40" s="20"/>
    </row>
    <row r="41" spans="4:6" s="234" customFormat="1" x14ac:dyDescent="0.25">
      <c r="D41" s="20"/>
      <c r="E41" s="20"/>
      <c r="F41" s="20"/>
    </row>
    <row r="42" spans="4:6" s="234" customFormat="1" x14ac:dyDescent="0.25">
      <c r="D42" s="20"/>
      <c r="E42" s="20"/>
      <c r="F42" s="20"/>
    </row>
    <row r="43" spans="4:6" s="234" customFormat="1" x14ac:dyDescent="0.25">
      <c r="D43" s="20"/>
      <c r="E43" s="20"/>
      <c r="F43" s="20"/>
    </row>
    <row r="44" spans="4:6" s="234" customFormat="1" x14ac:dyDescent="0.25">
      <c r="D44" s="20"/>
      <c r="E44" s="20"/>
      <c r="F44" s="20"/>
    </row>
    <row r="45" spans="4:6" s="234" customFormat="1" x14ac:dyDescent="0.25">
      <c r="D45" s="20"/>
      <c r="E45" s="20"/>
      <c r="F45" s="20"/>
    </row>
    <row r="46" spans="4:6" s="234" customFormat="1" x14ac:dyDescent="0.25">
      <c r="D46" s="20"/>
      <c r="E46" s="20"/>
      <c r="F46" s="20"/>
    </row>
    <row r="47" spans="4:6" s="234" customFormat="1" x14ac:dyDescent="0.25">
      <c r="D47" s="20"/>
      <c r="E47" s="20"/>
      <c r="F47" s="20"/>
    </row>
    <row r="48" spans="4:6" s="234" customFormat="1" x14ac:dyDescent="0.25">
      <c r="D48" s="20"/>
      <c r="E48" s="20"/>
      <c r="F48" s="20"/>
    </row>
    <row r="49" spans="4:6" s="234" customFormat="1" x14ac:dyDescent="0.25">
      <c r="D49" s="20"/>
      <c r="E49" s="20"/>
      <c r="F49" s="20"/>
    </row>
    <row r="50" spans="4:6" s="234" customFormat="1" x14ac:dyDescent="0.25">
      <c r="D50" s="20"/>
      <c r="E50" s="20"/>
      <c r="F50" s="20"/>
    </row>
    <row r="51" spans="4:6" s="234" customFormat="1" x14ac:dyDescent="0.25">
      <c r="D51" s="20"/>
      <c r="E51" s="20"/>
      <c r="F51" s="20"/>
    </row>
    <row r="52" spans="4:6" s="234" customFormat="1" x14ac:dyDescent="0.25">
      <c r="D52" s="20"/>
      <c r="E52" s="20"/>
      <c r="F52" s="20"/>
    </row>
    <row r="53" spans="4:6" s="234" customFormat="1" x14ac:dyDescent="0.25">
      <c r="D53" s="20"/>
      <c r="E53" s="20"/>
      <c r="F53" s="20"/>
    </row>
    <row r="54" spans="4:6" s="234" customFormat="1" x14ac:dyDescent="0.25">
      <c r="D54" s="20"/>
      <c r="E54" s="20"/>
      <c r="F54" s="20"/>
    </row>
    <row r="55" spans="4:6" s="234" customFormat="1" x14ac:dyDescent="0.25">
      <c r="D55" s="20"/>
      <c r="E55" s="20"/>
      <c r="F55" s="20"/>
    </row>
    <row r="56" spans="4:6" s="234" customFormat="1" x14ac:dyDescent="0.25">
      <c r="D56" s="20"/>
      <c r="E56" s="20"/>
      <c r="F56" s="20"/>
    </row>
    <row r="57" spans="4:6" s="234" customFormat="1" x14ac:dyDescent="0.25">
      <c r="D57" s="20"/>
      <c r="E57" s="20"/>
      <c r="F57" s="20"/>
    </row>
  </sheetData>
  <mergeCells count="3">
    <mergeCell ref="B2:F2"/>
    <mergeCell ref="B9:C9"/>
    <mergeCell ref="B17:C17"/>
  </mergeCells>
  <pageMargins left="0.7" right="0.7" top="0.75" bottom="0.75" header="0.3" footer="0.3"/>
  <pageSetup paperSize="9" scale="1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8"/>
  <sheetViews>
    <sheetView tabSelected="1" topLeftCell="A109" zoomScaleNormal="100" zoomScaleSheetLayoutView="100" workbookViewId="0">
      <selection activeCell="G54" sqref="G54"/>
    </sheetView>
  </sheetViews>
  <sheetFormatPr defaultColWidth="9.140625" defaultRowHeight="15" x14ac:dyDescent="0.25"/>
  <cols>
    <col min="1" max="1" width="9.140625" style="35"/>
    <col min="2" max="3" width="9.42578125" style="36" customWidth="1"/>
    <col min="4" max="4" width="57.28515625" style="36" customWidth="1"/>
    <col min="5" max="5" width="18.42578125" style="98" customWidth="1"/>
    <col min="6" max="6" width="15.42578125" style="98" customWidth="1"/>
    <col min="7" max="7" width="13.7109375" style="98" customWidth="1"/>
    <col min="8" max="16384" width="9.140625" style="36"/>
  </cols>
  <sheetData>
    <row r="2" spans="1:7" ht="45" customHeight="1" x14ac:dyDescent="0.25">
      <c r="B2" s="374" t="s">
        <v>383</v>
      </c>
      <c r="C2" s="375"/>
      <c r="D2" s="375"/>
      <c r="E2" s="375"/>
      <c r="F2" s="375"/>
      <c r="G2" s="376"/>
    </row>
    <row r="3" spans="1:7" s="97" customFormat="1" ht="47.25" x14ac:dyDescent="0.25">
      <c r="A3" s="96"/>
      <c r="B3" s="377" t="s">
        <v>0</v>
      </c>
      <c r="C3" s="377"/>
      <c r="D3" s="243" t="s">
        <v>1</v>
      </c>
      <c r="E3" s="108" t="s">
        <v>353</v>
      </c>
      <c r="F3" s="108" t="s">
        <v>359</v>
      </c>
      <c r="G3" s="108" t="s">
        <v>362</v>
      </c>
    </row>
    <row r="4" spans="1:7" x14ac:dyDescent="0.25">
      <c r="B4" s="378">
        <v>1</v>
      </c>
      <c r="C4" s="378"/>
      <c r="D4" s="244">
        <v>2</v>
      </c>
      <c r="E4" s="109">
        <v>3</v>
      </c>
      <c r="F4" s="109">
        <v>4</v>
      </c>
      <c r="G4" s="109">
        <v>6</v>
      </c>
    </row>
    <row r="5" spans="1:7" ht="30" customHeight="1" x14ac:dyDescent="0.25">
      <c r="B5" s="37"/>
      <c r="C5" s="37"/>
      <c r="D5" s="245" t="s">
        <v>48</v>
      </c>
      <c r="E5" s="101"/>
      <c r="F5" s="101"/>
      <c r="G5" s="101"/>
    </row>
    <row r="6" spans="1:7" x14ac:dyDescent="0.25">
      <c r="B6" s="37"/>
      <c r="C6" s="37"/>
      <c r="D6" s="245" t="s">
        <v>49</v>
      </c>
      <c r="E6" s="101"/>
      <c r="F6" s="101"/>
      <c r="G6" s="101"/>
    </row>
    <row r="7" spans="1:7" x14ac:dyDescent="0.25">
      <c r="B7" s="61">
        <v>410000</v>
      </c>
      <c r="C7" s="38"/>
      <c r="D7" s="38" t="s">
        <v>50</v>
      </c>
      <c r="E7" s="110">
        <f>E8+E10+E12+E15+E18</f>
        <v>260500</v>
      </c>
      <c r="F7" s="110"/>
      <c r="G7" s="110"/>
    </row>
    <row r="8" spans="1:7" x14ac:dyDescent="0.25">
      <c r="B8" s="246">
        <v>412100</v>
      </c>
      <c r="C8" s="39"/>
      <c r="D8" s="39" t="s">
        <v>51</v>
      </c>
      <c r="E8" s="111">
        <f>E9</f>
        <v>3000</v>
      </c>
      <c r="F8" s="111">
        <f>F9</f>
        <v>1043</v>
      </c>
      <c r="G8" s="111">
        <f>G9</f>
        <v>2000</v>
      </c>
    </row>
    <row r="9" spans="1:7" ht="30" x14ac:dyDescent="0.25">
      <c r="B9" s="247"/>
      <c r="C9" s="37"/>
      <c r="D9" s="40" t="s">
        <v>342</v>
      </c>
      <c r="E9" s="112">
        <v>3000</v>
      </c>
      <c r="F9" s="112">
        <v>1043</v>
      </c>
      <c r="G9" s="112">
        <v>2000</v>
      </c>
    </row>
    <row r="10" spans="1:7" s="42" customFormat="1" x14ac:dyDescent="0.25">
      <c r="A10" s="41"/>
      <c r="B10" s="246">
        <v>412300</v>
      </c>
      <c r="C10" s="39"/>
      <c r="D10" s="39" t="s">
        <v>52</v>
      </c>
      <c r="E10" s="111">
        <f>E11</f>
        <v>3500</v>
      </c>
      <c r="F10" s="111">
        <f>F11</f>
        <v>0</v>
      </c>
      <c r="G10" s="111">
        <f>G11</f>
        <v>2500</v>
      </c>
    </row>
    <row r="11" spans="1:7" x14ac:dyDescent="0.25">
      <c r="B11" s="247"/>
      <c r="C11" s="37"/>
      <c r="D11" s="37" t="s">
        <v>53</v>
      </c>
      <c r="E11" s="112">
        <v>3500</v>
      </c>
      <c r="F11" s="112">
        <v>0</v>
      </c>
      <c r="G11" s="112">
        <v>2500</v>
      </c>
    </row>
    <row r="12" spans="1:7" s="42" customFormat="1" x14ac:dyDescent="0.25">
      <c r="A12" s="41"/>
      <c r="B12" s="246">
        <v>412600</v>
      </c>
      <c r="C12" s="39"/>
      <c r="D12" s="39" t="s">
        <v>54</v>
      </c>
      <c r="E12" s="111">
        <f>E13+E14</f>
        <v>3000</v>
      </c>
      <c r="F12" s="111">
        <f>F13+F14</f>
        <v>1758.07</v>
      </c>
      <c r="G12" s="111">
        <f>G13+G14</f>
        <v>3000</v>
      </c>
    </row>
    <row r="13" spans="1:7" x14ac:dyDescent="0.25">
      <c r="B13" s="247"/>
      <c r="C13" s="37"/>
      <c r="D13" s="37" t="s">
        <v>55</v>
      </c>
      <c r="E13" s="112">
        <v>1000</v>
      </c>
      <c r="F13" s="112">
        <v>600.29</v>
      </c>
      <c r="G13" s="112">
        <v>1000</v>
      </c>
    </row>
    <row r="14" spans="1:7" x14ac:dyDescent="0.25">
      <c r="B14" s="247"/>
      <c r="C14" s="37"/>
      <c r="D14" s="37" t="s">
        <v>56</v>
      </c>
      <c r="E14" s="112">
        <v>2000</v>
      </c>
      <c r="F14" s="112">
        <v>1157.78</v>
      </c>
      <c r="G14" s="112">
        <v>2000</v>
      </c>
    </row>
    <row r="15" spans="1:7" s="42" customFormat="1" x14ac:dyDescent="0.25">
      <c r="A15" s="41"/>
      <c r="B15" s="246">
        <v>412700</v>
      </c>
      <c r="C15" s="39"/>
      <c r="D15" s="39" t="s">
        <v>57</v>
      </c>
      <c r="E15" s="111">
        <f>E16+E17</f>
        <v>8000</v>
      </c>
      <c r="F15" s="111">
        <f>F16</f>
        <v>6987.7</v>
      </c>
      <c r="G15" s="111">
        <f>G16+G17</f>
        <v>6500</v>
      </c>
    </row>
    <row r="16" spans="1:7" x14ac:dyDescent="0.25">
      <c r="B16" s="248"/>
      <c r="C16" s="43"/>
      <c r="D16" s="43" t="s">
        <v>58</v>
      </c>
      <c r="E16" s="112">
        <v>7000</v>
      </c>
      <c r="F16" s="112">
        <v>6987.7</v>
      </c>
      <c r="G16" s="112">
        <v>6000</v>
      </c>
    </row>
    <row r="17" spans="1:7" x14ac:dyDescent="0.25">
      <c r="B17" s="248"/>
      <c r="C17" s="43"/>
      <c r="D17" s="43" t="s">
        <v>59</v>
      </c>
      <c r="E17" s="112">
        <v>1000</v>
      </c>
      <c r="F17" s="112">
        <v>0</v>
      </c>
      <c r="G17" s="112">
        <v>500</v>
      </c>
    </row>
    <row r="18" spans="1:7" s="42" customFormat="1" x14ac:dyDescent="0.25">
      <c r="A18" s="41"/>
      <c r="B18" s="246">
        <v>412900</v>
      </c>
      <c r="C18" s="39"/>
      <c r="D18" s="39" t="s">
        <v>60</v>
      </c>
      <c r="E18" s="111">
        <f>SUM(E19:E25)</f>
        <v>243000</v>
      </c>
      <c r="F18" s="111">
        <f>F19+F20+F21+F22+F23+F24+F25</f>
        <v>172431.46000000002</v>
      </c>
      <c r="G18" s="111">
        <f>G19+G20+G21+G22+G23+G24+G25</f>
        <v>263500</v>
      </c>
    </row>
    <row r="19" spans="1:7" x14ac:dyDescent="0.25">
      <c r="B19" s="247"/>
      <c r="C19" s="37"/>
      <c r="D19" s="37" t="s">
        <v>61</v>
      </c>
      <c r="E19" s="112">
        <v>205000</v>
      </c>
      <c r="F19" s="112">
        <v>138754.22</v>
      </c>
      <c r="G19" s="112">
        <v>206000</v>
      </c>
    </row>
    <row r="20" spans="1:7" x14ac:dyDescent="0.25">
      <c r="B20" s="249"/>
      <c r="C20" s="149"/>
      <c r="D20" s="149" t="s">
        <v>343</v>
      </c>
      <c r="E20" s="150">
        <v>11000</v>
      </c>
      <c r="F20" s="150">
        <v>5494.16</v>
      </c>
      <c r="G20" s="150">
        <v>24000</v>
      </c>
    </row>
    <row r="21" spans="1:7" x14ac:dyDescent="0.25">
      <c r="B21" s="37"/>
      <c r="C21" s="37"/>
      <c r="D21" s="43" t="s">
        <v>62</v>
      </c>
      <c r="E21" s="112">
        <v>16000</v>
      </c>
      <c r="F21" s="112">
        <v>26571.66</v>
      </c>
      <c r="G21" s="112">
        <v>25000</v>
      </c>
    </row>
    <row r="22" spans="1:7" x14ac:dyDescent="0.25">
      <c r="B22" s="37"/>
      <c r="C22" s="37"/>
      <c r="D22" s="43" t="s">
        <v>63</v>
      </c>
      <c r="E22" s="112">
        <v>5000</v>
      </c>
      <c r="F22" s="112">
        <v>728.5</v>
      </c>
      <c r="G22" s="112">
        <v>4000</v>
      </c>
    </row>
    <row r="23" spans="1:7" x14ac:dyDescent="0.25">
      <c r="B23" s="37"/>
      <c r="C23" s="37"/>
      <c r="D23" s="43" t="s">
        <v>64</v>
      </c>
      <c r="E23" s="112">
        <v>2000</v>
      </c>
      <c r="F23" s="112">
        <v>0</v>
      </c>
      <c r="G23" s="112">
        <v>2000</v>
      </c>
    </row>
    <row r="24" spans="1:7" ht="30" x14ac:dyDescent="0.25">
      <c r="B24" s="37"/>
      <c r="C24" s="37"/>
      <c r="D24" s="44" t="s">
        <v>65</v>
      </c>
      <c r="E24" s="112">
        <v>3000</v>
      </c>
      <c r="F24" s="112">
        <v>0</v>
      </c>
      <c r="G24" s="112">
        <v>1000</v>
      </c>
    </row>
    <row r="25" spans="1:7" x14ac:dyDescent="0.25">
      <c r="B25" s="43"/>
      <c r="C25" s="43"/>
      <c r="D25" s="44" t="s">
        <v>66</v>
      </c>
      <c r="E25" s="112">
        <v>1000</v>
      </c>
      <c r="F25" s="112">
        <f>175.06+707.86</f>
        <v>882.92000000000007</v>
      </c>
      <c r="G25" s="112">
        <v>1500</v>
      </c>
    </row>
    <row r="26" spans="1:7" x14ac:dyDescent="0.25">
      <c r="B26" s="250">
        <v>510000</v>
      </c>
      <c r="C26" s="45"/>
      <c r="D26" s="45" t="s">
        <v>67</v>
      </c>
      <c r="E26" s="113">
        <f>E28</f>
        <v>0</v>
      </c>
      <c r="F26" s="113">
        <f>F28</f>
        <v>0</v>
      </c>
      <c r="G26" s="113">
        <f>G28</f>
        <v>0</v>
      </c>
    </row>
    <row r="27" spans="1:7" x14ac:dyDescent="0.25">
      <c r="B27" s="37">
        <v>511300</v>
      </c>
      <c r="C27" s="37"/>
      <c r="D27" s="37" t="s">
        <v>68</v>
      </c>
      <c r="E27" s="112"/>
      <c r="F27" s="112"/>
      <c r="G27" s="112"/>
    </row>
    <row r="28" spans="1:7" x14ac:dyDescent="0.25">
      <c r="B28" s="37"/>
      <c r="C28" s="37"/>
      <c r="D28" s="37" t="s">
        <v>69</v>
      </c>
      <c r="E28" s="112">
        <v>0</v>
      </c>
      <c r="F28" s="112">
        <v>0</v>
      </c>
      <c r="G28" s="112">
        <v>0</v>
      </c>
    </row>
    <row r="29" spans="1:7" x14ac:dyDescent="0.25">
      <c r="B29" s="371" t="s">
        <v>70</v>
      </c>
      <c r="C29" s="371"/>
      <c r="D29" s="371"/>
      <c r="E29" s="120">
        <f>E26+E7</f>
        <v>260500</v>
      </c>
      <c r="F29" s="120">
        <f>F26+F18+F15+F12+F10+F8</f>
        <v>182220.23000000004</v>
      </c>
      <c r="G29" s="120">
        <f>G18+G15+G12+G10+G8</f>
        <v>277500</v>
      </c>
    </row>
    <row r="30" spans="1:7" x14ac:dyDescent="0.25">
      <c r="B30" s="37"/>
      <c r="C30" s="37"/>
      <c r="D30" s="37"/>
      <c r="E30" s="101"/>
      <c r="F30" s="101"/>
      <c r="G30" s="101"/>
    </row>
    <row r="31" spans="1:7" x14ac:dyDescent="0.25">
      <c r="B31" s="37"/>
      <c r="C31" s="37"/>
      <c r="D31" s="37"/>
      <c r="E31" s="101"/>
      <c r="F31" s="101"/>
      <c r="G31" s="101"/>
    </row>
    <row r="32" spans="1:7" ht="31.5" customHeight="1" x14ac:dyDescent="0.25">
      <c r="B32" s="37"/>
      <c r="C32" s="37"/>
      <c r="D32" s="251" t="s">
        <v>71</v>
      </c>
      <c r="E32" s="101"/>
      <c r="F32" s="101"/>
      <c r="G32" s="101"/>
    </row>
    <row r="33" spans="2:7" x14ac:dyDescent="0.25">
      <c r="B33" s="37"/>
      <c r="C33" s="37"/>
      <c r="D33" s="251" t="s">
        <v>72</v>
      </c>
      <c r="E33" s="101"/>
      <c r="F33" s="101"/>
      <c r="G33" s="101"/>
    </row>
    <row r="34" spans="2:7" x14ac:dyDescent="0.25">
      <c r="B34" s="46">
        <v>410000</v>
      </c>
      <c r="C34" s="47"/>
      <c r="D34" s="252" t="s">
        <v>50</v>
      </c>
      <c r="E34" s="99">
        <f>E35+E42+E49+E64+E66+E67+E45+E47</f>
        <v>1012000</v>
      </c>
      <c r="F34" s="99"/>
      <c r="G34" s="99"/>
    </row>
    <row r="35" spans="2:7" ht="30" x14ac:dyDescent="0.25">
      <c r="B35" s="48">
        <v>412200</v>
      </c>
      <c r="C35" s="49"/>
      <c r="D35" s="253" t="s">
        <v>73</v>
      </c>
      <c r="E35" s="111">
        <f>E36+E37+E38+E39+E40+E41</f>
        <v>83000</v>
      </c>
      <c r="F35" s="111">
        <f>F36+F37+F38+F39+F40+F41</f>
        <v>70416.139999999985</v>
      </c>
      <c r="G35" s="111">
        <f>G36+G37+G38+G39+G40+G41</f>
        <v>95000</v>
      </c>
    </row>
    <row r="36" spans="2:7" x14ac:dyDescent="0.25">
      <c r="B36" s="37"/>
      <c r="C36" s="37"/>
      <c r="D36" s="37" t="s">
        <v>74</v>
      </c>
      <c r="E36" s="101">
        <v>25000</v>
      </c>
      <c r="F36" s="101">
        <v>22489.61</v>
      </c>
      <c r="G36" s="101">
        <v>33000</v>
      </c>
    </row>
    <row r="37" spans="2:7" x14ac:dyDescent="0.25">
      <c r="B37" s="37"/>
      <c r="C37" s="37"/>
      <c r="D37" s="254" t="s">
        <v>75</v>
      </c>
      <c r="E37" s="101">
        <v>14000</v>
      </c>
      <c r="F37" s="101">
        <v>14400</v>
      </c>
      <c r="G37" s="101">
        <v>14000</v>
      </c>
    </row>
    <row r="38" spans="2:7" x14ac:dyDescent="0.25">
      <c r="B38" s="37"/>
      <c r="C38" s="37"/>
      <c r="D38" s="254" t="s">
        <v>76</v>
      </c>
      <c r="E38" s="101">
        <v>3000</v>
      </c>
      <c r="F38" s="101">
        <v>3165.09</v>
      </c>
      <c r="G38" s="101">
        <v>4000</v>
      </c>
    </row>
    <row r="39" spans="2:7" x14ac:dyDescent="0.25">
      <c r="B39" s="37"/>
      <c r="C39" s="37"/>
      <c r="D39" s="305" t="s">
        <v>338</v>
      </c>
      <c r="E39" s="131">
        <v>4000</v>
      </c>
      <c r="F39" s="131">
        <v>561.6</v>
      </c>
      <c r="G39" s="131">
        <v>1000</v>
      </c>
    </row>
    <row r="40" spans="2:7" x14ac:dyDescent="0.25">
      <c r="B40" s="37"/>
      <c r="C40" s="37"/>
      <c r="D40" s="254" t="s">
        <v>77</v>
      </c>
      <c r="E40" s="101">
        <v>25000</v>
      </c>
      <c r="F40" s="101">
        <v>25477</v>
      </c>
      <c r="G40" s="101">
        <v>38000</v>
      </c>
    </row>
    <row r="41" spans="2:7" x14ac:dyDescent="0.25">
      <c r="B41" s="37"/>
      <c r="C41" s="37"/>
      <c r="D41" s="254" t="s">
        <v>78</v>
      </c>
      <c r="E41" s="101">
        <v>12000</v>
      </c>
      <c r="F41" s="101">
        <v>4322.84</v>
      </c>
      <c r="G41" s="101">
        <v>5000</v>
      </c>
    </row>
    <row r="42" spans="2:7" x14ac:dyDescent="0.25">
      <c r="B42" s="48">
        <v>412300</v>
      </c>
      <c r="C42" s="49"/>
      <c r="D42" s="255" t="s">
        <v>79</v>
      </c>
      <c r="E42" s="111">
        <f>E43+E44</f>
        <v>6000</v>
      </c>
      <c r="F42" s="111">
        <f>F43+F44</f>
        <v>4620.7</v>
      </c>
      <c r="G42" s="111">
        <f>G43+G44</f>
        <v>3500</v>
      </c>
    </row>
    <row r="43" spans="2:7" x14ac:dyDescent="0.25">
      <c r="B43" s="37"/>
      <c r="C43" s="37"/>
      <c r="D43" s="256" t="s">
        <v>80</v>
      </c>
      <c r="E43" s="101">
        <v>4500</v>
      </c>
      <c r="F43" s="101">
        <v>2952.7</v>
      </c>
      <c r="G43" s="101">
        <v>2500</v>
      </c>
    </row>
    <row r="44" spans="2:7" x14ac:dyDescent="0.25">
      <c r="B44" s="37"/>
      <c r="C44" s="37"/>
      <c r="D44" s="37" t="s">
        <v>81</v>
      </c>
      <c r="E44" s="101">
        <v>1500</v>
      </c>
      <c r="F44" s="101">
        <f>970+698</f>
        <v>1668</v>
      </c>
      <c r="G44" s="101">
        <v>1000</v>
      </c>
    </row>
    <row r="45" spans="2:7" x14ac:dyDescent="0.25">
      <c r="B45" s="144">
        <v>412500</v>
      </c>
      <c r="C45" s="144"/>
      <c r="D45" s="144" t="s">
        <v>160</v>
      </c>
      <c r="E45" s="115">
        <f>E46</f>
        <v>7000</v>
      </c>
      <c r="F45" s="115">
        <f>F46</f>
        <v>4602.26</v>
      </c>
      <c r="G45" s="115">
        <f>G46</f>
        <v>4000</v>
      </c>
    </row>
    <row r="46" spans="2:7" x14ac:dyDescent="0.25">
      <c r="B46" s="37"/>
      <c r="C46" s="37"/>
      <c r="D46" s="37" t="s">
        <v>229</v>
      </c>
      <c r="E46" s="101">
        <v>7000</v>
      </c>
      <c r="F46" s="101">
        <v>4602.26</v>
      </c>
      <c r="G46" s="101">
        <v>4000</v>
      </c>
    </row>
    <row r="47" spans="2:7" x14ac:dyDescent="0.25">
      <c r="B47" s="144">
        <v>412600</v>
      </c>
      <c r="C47" s="144"/>
      <c r="D47" s="144" t="s">
        <v>230</v>
      </c>
      <c r="E47" s="115">
        <f>E48</f>
        <v>26000</v>
      </c>
      <c r="F47" s="115">
        <f>F48</f>
        <v>15576.49</v>
      </c>
      <c r="G47" s="115">
        <f>G48</f>
        <v>24000</v>
      </c>
    </row>
    <row r="48" spans="2:7" x14ac:dyDescent="0.25">
      <c r="B48" s="37"/>
      <c r="C48" s="37"/>
      <c r="D48" s="37" t="s">
        <v>231</v>
      </c>
      <c r="E48" s="101">
        <v>26000</v>
      </c>
      <c r="F48" s="101">
        <v>15576.49</v>
      </c>
      <c r="G48" s="101">
        <v>24000</v>
      </c>
    </row>
    <row r="49" spans="2:7" x14ac:dyDescent="0.25">
      <c r="B49" s="48">
        <v>412700</v>
      </c>
      <c r="C49" s="49"/>
      <c r="D49" s="49" t="s">
        <v>82</v>
      </c>
      <c r="E49" s="111">
        <f>SUM(E50:E63)</f>
        <v>93000</v>
      </c>
      <c r="F49" s="111">
        <f>F50+F51+F52+F53+F54+F55+F56+F57+F58+F59+F60+F61+F62+F63</f>
        <v>49128.99</v>
      </c>
      <c r="G49" s="111">
        <f>G50+G51+G52+G53+G54+G55+G56+G57+G58+G59+G60+G61+G62+G63</f>
        <v>72400</v>
      </c>
    </row>
    <row r="50" spans="2:7" x14ac:dyDescent="0.25">
      <c r="B50" s="37"/>
      <c r="C50" s="37"/>
      <c r="D50" s="254" t="s">
        <v>83</v>
      </c>
      <c r="E50" s="101">
        <v>11000</v>
      </c>
      <c r="F50" s="101">
        <v>0</v>
      </c>
      <c r="G50" s="101">
        <v>0</v>
      </c>
    </row>
    <row r="51" spans="2:7" x14ac:dyDescent="0.25">
      <c r="B51" s="37"/>
      <c r="C51" s="37"/>
      <c r="D51" s="256" t="s">
        <v>84</v>
      </c>
      <c r="E51" s="101">
        <v>3500</v>
      </c>
      <c r="F51" s="101">
        <v>2787.05</v>
      </c>
      <c r="G51" s="101">
        <v>2500</v>
      </c>
    </row>
    <row r="52" spans="2:7" ht="30" x14ac:dyDescent="0.25">
      <c r="B52" s="37"/>
      <c r="C52" s="37"/>
      <c r="D52" s="254" t="s">
        <v>85</v>
      </c>
      <c r="E52" s="101">
        <v>5000</v>
      </c>
      <c r="F52" s="101">
        <v>3778.95</v>
      </c>
      <c r="G52" s="101">
        <v>2500</v>
      </c>
    </row>
    <row r="53" spans="2:7" x14ac:dyDescent="0.25">
      <c r="B53" s="37"/>
      <c r="C53" s="37"/>
      <c r="D53" s="254" t="s">
        <v>86</v>
      </c>
      <c r="E53" s="101">
        <v>1000</v>
      </c>
      <c r="F53" s="101">
        <v>0</v>
      </c>
      <c r="G53" s="101">
        <v>1000</v>
      </c>
    </row>
    <row r="54" spans="2:7" ht="30" x14ac:dyDescent="0.25">
      <c r="B54" s="37"/>
      <c r="C54" s="37"/>
      <c r="D54" s="254" t="s">
        <v>87</v>
      </c>
      <c r="E54" s="101">
        <v>53000</v>
      </c>
      <c r="F54" s="101">
        <f>21798.86+1872</f>
        <v>23670.86</v>
      </c>
      <c r="G54" s="101">
        <v>44000</v>
      </c>
    </row>
    <row r="55" spans="2:7" x14ac:dyDescent="0.25">
      <c r="B55" s="37"/>
      <c r="C55" s="37"/>
      <c r="D55" s="254" t="s">
        <v>88</v>
      </c>
      <c r="E55" s="101">
        <v>2000</v>
      </c>
      <c r="F55" s="101">
        <v>5652.5</v>
      </c>
      <c r="G55" s="101">
        <v>7000</v>
      </c>
    </row>
    <row r="56" spans="2:7" x14ac:dyDescent="0.25">
      <c r="B56" s="37"/>
      <c r="C56" s="37"/>
      <c r="D56" s="254" t="s">
        <v>89</v>
      </c>
      <c r="E56" s="101">
        <v>6000</v>
      </c>
      <c r="F56" s="101">
        <v>827.18</v>
      </c>
      <c r="G56" s="101">
        <v>1500</v>
      </c>
    </row>
    <row r="57" spans="2:7" x14ac:dyDescent="0.25">
      <c r="B57" s="37"/>
      <c r="C57" s="37"/>
      <c r="D57" s="254" t="s">
        <v>90</v>
      </c>
      <c r="E57" s="101">
        <v>1000</v>
      </c>
      <c r="F57" s="101">
        <v>25</v>
      </c>
      <c r="G57" s="101">
        <v>200</v>
      </c>
    </row>
    <row r="58" spans="2:7" x14ac:dyDescent="0.25">
      <c r="B58" s="37"/>
      <c r="C58" s="37"/>
      <c r="D58" s="254" t="s">
        <v>91</v>
      </c>
      <c r="E58" s="101">
        <v>500</v>
      </c>
      <c r="F58" s="101">
        <v>0</v>
      </c>
      <c r="G58" s="101">
        <v>200</v>
      </c>
    </row>
    <row r="59" spans="2:7" x14ac:dyDescent="0.25">
      <c r="B59" s="37"/>
      <c r="C59" s="37"/>
      <c r="D59" s="37" t="s">
        <v>92</v>
      </c>
      <c r="E59" s="101">
        <v>2000</v>
      </c>
      <c r="F59" s="101">
        <v>0</v>
      </c>
      <c r="G59" s="101">
        <v>500</v>
      </c>
    </row>
    <row r="60" spans="2:7" x14ac:dyDescent="0.25">
      <c r="B60" s="37"/>
      <c r="C60" s="37"/>
      <c r="D60" s="254" t="s">
        <v>93</v>
      </c>
      <c r="E60" s="101">
        <v>3000</v>
      </c>
      <c r="F60" s="101">
        <v>0</v>
      </c>
      <c r="G60" s="101">
        <v>1000</v>
      </c>
    </row>
    <row r="61" spans="2:7" x14ac:dyDescent="0.25">
      <c r="B61" s="37"/>
      <c r="C61" s="37"/>
      <c r="D61" s="254" t="s">
        <v>94</v>
      </c>
      <c r="E61" s="101">
        <v>3000</v>
      </c>
      <c r="F61" s="101">
        <v>5059.2</v>
      </c>
      <c r="G61" s="101">
        <v>5000</v>
      </c>
    </row>
    <row r="62" spans="2:7" x14ac:dyDescent="0.25">
      <c r="B62" s="43"/>
      <c r="C62" s="43"/>
      <c r="D62" s="256" t="s">
        <v>95</v>
      </c>
      <c r="E62" s="101">
        <v>1000</v>
      </c>
      <c r="F62" s="101">
        <v>460</v>
      </c>
      <c r="G62" s="101">
        <v>1000</v>
      </c>
    </row>
    <row r="63" spans="2:7" x14ac:dyDescent="0.25">
      <c r="B63" s="43"/>
      <c r="C63" s="43"/>
      <c r="D63" s="256" t="s">
        <v>59</v>
      </c>
      <c r="E63" s="101">
        <v>1000</v>
      </c>
      <c r="F63" s="101">
        <v>6868.25</v>
      </c>
      <c r="G63" s="101">
        <v>6000</v>
      </c>
    </row>
    <row r="64" spans="2:7" x14ac:dyDescent="0.25">
      <c r="B64" s="48">
        <v>412900</v>
      </c>
      <c r="C64" s="49"/>
      <c r="D64" s="49" t="s">
        <v>60</v>
      </c>
      <c r="E64" s="111">
        <f>2000</f>
        <v>2000</v>
      </c>
      <c r="F64" s="111">
        <f>F65</f>
        <v>4994.9799999999996</v>
      </c>
      <c r="G64" s="111">
        <f>G65</f>
        <v>5500</v>
      </c>
    </row>
    <row r="65" spans="2:7" x14ac:dyDescent="0.25">
      <c r="B65" s="37"/>
      <c r="C65" s="37"/>
      <c r="D65" s="37" t="s">
        <v>363</v>
      </c>
      <c r="E65" s="101">
        <v>2000</v>
      </c>
      <c r="F65" s="101">
        <v>4994.9799999999996</v>
      </c>
      <c r="G65" s="101">
        <v>5500</v>
      </c>
    </row>
    <row r="66" spans="2:7" x14ac:dyDescent="0.25">
      <c r="B66" s="50">
        <v>419000</v>
      </c>
      <c r="C66" s="51"/>
      <c r="D66" s="257" t="s">
        <v>96</v>
      </c>
      <c r="E66" s="115">
        <v>10000</v>
      </c>
      <c r="F66" s="115">
        <v>505.4</v>
      </c>
      <c r="G66" s="115">
        <v>2000</v>
      </c>
    </row>
    <row r="67" spans="2:7" x14ac:dyDescent="0.25">
      <c r="B67" s="48">
        <v>416000</v>
      </c>
      <c r="C67" s="49"/>
      <c r="D67" s="258" t="s">
        <v>97</v>
      </c>
      <c r="E67" s="111">
        <f>SUM(E68:E76)</f>
        <v>785000</v>
      </c>
      <c r="F67" s="111">
        <f>F68+F69+F70+F71+F72+F73+F74+F75+F76</f>
        <v>505017.24000000005</v>
      </c>
      <c r="G67" s="111">
        <v>0</v>
      </c>
    </row>
    <row r="68" spans="2:7" ht="60" x14ac:dyDescent="0.25">
      <c r="B68" s="37"/>
      <c r="C68" s="37"/>
      <c r="D68" s="259" t="s">
        <v>98</v>
      </c>
      <c r="E68" s="101">
        <v>360000</v>
      </c>
      <c r="F68" s="101">
        <f>86969.53+157383.6+260+5960+33758.71+31000</f>
        <v>315331.84000000003</v>
      </c>
      <c r="G68" s="101">
        <v>0</v>
      </c>
    </row>
    <row r="69" spans="2:7" ht="30" x14ac:dyDescent="0.25">
      <c r="B69" s="37"/>
      <c r="C69" s="37"/>
      <c r="D69" s="259" t="s">
        <v>99</v>
      </c>
      <c r="E69" s="101">
        <v>190000</v>
      </c>
      <c r="F69" s="101">
        <v>76540</v>
      </c>
      <c r="G69" s="101">
        <v>0</v>
      </c>
    </row>
    <row r="70" spans="2:7" x14ac:dyDescent="0.25">
      <c r="B70" s="37"/>
      <c r="C70" s="37"/>
      <c r="D70" s="259" t="s">
        <v>100</v>
      </c>
      <c r="E70" s="101">
        <v>6000</v>
      </c>
      <c r="F70" s="101">
        <v>0</v>
      </c>
      <c r="G70" s="101">
        <v>0</v>
      </c>
    </row>
    <row r="71" spans="2:7" x14ac:dyDescent="0.25">
      <c r="B71" s="37"/>
      <c r="C71" s="37"/>
      <c r="D71" s="259" t="s">
        <v>102</v>
      </c>
      <c r="E71" s="101">
        <v>120000</v>
      </c>
      <c r="F71" s="101">
        <v>69332.600000000006</v>
      </c>
      <c r="G71" s="101">
        <v>0</v>
      </c>
    </row>
    <row r="72" spans="2:7" x14ac:dyDescent="0.25">
      <c r="B72" s="37"/>
      <c r="C72" s="37"/>
      <c r="D72" s="259" t="s">
        <v>101</v>
      </c>
      <c r="E72" s="101">
        <v>23000</v>
      </c>
      <c r="F72" s="101">
        <v>0</v>
      </c>
      <c r="G72" s="101">
        <v>0</v>
      </c>
    </row>
    <row r="73" spans="2:7" x14ac:dyDescent="0.25">
      <c r="B73" s="37"/>
      <c r="C73" s="37"/>
      <c r="D73" s="259" t="s">
        <v>103</v>
      </c>
      <c r="E73" s="101">
        <v>33000</v>
      </c>
      <c r="F73" s="101">
        <v>8795</v>
      </c>
      <c r="G73" s="101">
        <v>0</v>
      </c>
    </row>
    <row r="74" spans="2:7" x14ac:dyDescent="0.25">
      <c r="B74" s="37"/>
      <c r="C74" s="37"/>
      <c r="D74" s="259" t="s">
        <v>104</v>
      </c>
      <c r="E74" s="101">
        <v>2000</v>
      </c>
      <c r="F74" s="101">
        <v>0</v>
      </c>
      <c r="G74" s="101">
        <v>0</v>
      </c>
    </row>
    <row r="75" spans="2:7" ht="30" x14ac:dyDescent="0.25">
      <c r="B75" s="37"/>
      <c r="C75" s="37"/>
      <c r="D75" s="259" t="s">
        <v>105</v>
      </c>
      <c r="E75" s="101">
        <v>1000</v>
      </c>
      <c r="F75" s="101">
        <v>0</v>
      </c>
      <c r="G75" s="101">
        <v>0</v>
      </c>
    </row>
    <row r="76" spans="2:7" ht="30" x14ac:dyDescent="0.25">
      <c r="B76" s="37"/>
      <c r="C76" s="37"/>
      <c r="D76" s="259" t="s">
        <v>232</v>
      </c>
      <c r="E76" s="101">
        <v>50000</v>
      </c>
      <c r="F76" s="101">
        <v>35017.800000000003</v>
      </c>
      <c r="G76" s="101">
        <v>0</v>
      </c>
    </row>
    <row r="77" spans="2:7" x14ac:dyDescent="0.25">
      <c r="B77" s="52">
        <v>510000</v>
      </c>
      <c r="C77" s="53"/>
      <c r="D77" s="260" t="s">
        <v>106</v>
      </c>
      <c r="E77" s="116">
        <f>E78</f>
        <v>23000</v>
      </c>
      <c r="F77" s="116">
        <f>F78</f>
        <v>0</v>
      </c>
      <c r="G77" s="116">
        <v>0</v>
      </c>
    </row>
    <row r="78" spans="2:7" x14ac:dyDescent="0.25">
      <c r="B78" s="43"/>
      <c r="C78" s="43"/>
      <c r="D78" s="259" t="s">
        <v>213</v>
      </c>
      <c r="E78" s="117">
        <v>23000</v>
      </c>
      <c r="F78" s="117">
        <v>0</v>
      </c>
      <c r="G78" s="117">
        <v>0</v>
      </c>
    </row>
    <row r="79" spans="2:7" x14ac:dyDescent="0.25">
      <c r="B79" s="54"/>
      <c r="C79" s="54"/>
      <c r="D79" s="54" t="s">
        <v>107</v>
      </c>
      <c r="E79" s="118">
        <f>E80+E84</f>
        <v>9000</v>
      </c>
      <c r="F79" s="118"/>
      <c r="G79" s="118"/>
    </row>
    <row r="80" spans="2:7" x14ac:dyDescent="0.25">
      <c r="B80" s="49">
        <v>412000</v>
      </c>
      <c r="C80" s="49"/>
      <c r="D80" s="49" t="s">
        <v>108</v>
      </c>
      <c r="E80" s="111">
        <f>E83+E82+E81</f>
        <v>2000</v>
      </c>
      <c r="F80" s="111">
        <v>0</v>
      </c>
      <c r="G80" s="111">
        <v>0</v>
      </c>
    </row>
    <row r="81" spans="1:7" x14ac:dyDescent="0.25">
      <c r="B81" s="55">
        <v>412600</v>
      </c>
      <c r="C81" s="56"/>
      <c r="D81" s="43" t="s">
        <v>54</v>
      </c>
      <c r="E81" s="117">
        <v>1000</v>
      </c>
      <c r="F81" s="117">
        <v>0</v>
      </c>
      <c r="G81" s="117">
        <v>0</v>
      </c>
    </row>
    <row r="82" spans="1:7" x14ac:dyDescent="0.25">
      <c r="B82" s="57">
        <v>412700</v>
      </c>
      <c r="C82" s="56"/>
      <c r="D82" s="43" t="s">
        <v>109</v>
      </c>
      <c r="E82" s="117">
        <v>0</v>
      </c>
      <c r="F82" s="117">
        <v>0</v>
      </c>
      <c r="G82" s="117">
        <v>0</v>
      </c>
    </row>
    <row r="83" spans="1:7" ht="30" x14ac:dyDescent="0.25">
      <c r="B83" s="57">
        <v>412900</v>
      </c>
      <c r="C83" s="56"/>
      <c r="D83" s="44" t="s">
        <v>110</v>
      </c>
      <c r="E83" s="117">
        <v>1000</v>
      </c>
      <c r="F83" s="117">
        <v>0</v>
      </c>
      <c r="G83" s="117">
        <v>0</v>
      </c>
    </row>
    <row r="84" spans="1:7" x14ac:dyDescent="0.25">
      <c r="B84" s="45">
        <v>510000</v>
      </c>
      <c r="C84" s="45"/>
      <c r="D84" s="261" t="s">
        <v>111</v>
      </c>
      <c r="E84" s="119">
        <f>E85+E86</f>
        <v>7000</v>
      </c>
      <c r="F84" s="119">
        <v>0</v>
      </c>
      <c r="G84" s="119">
        <f>G85+G86+G87</f>
        <v>50000</v>
      </c>
    </row>
    <row r="85" spans="1:7" x14ac:dyDescent="0.25">
      <c r="B85" s="37"/>
      <c r="C85" s="37"/>
      <c r="D85" s="37" t="s">
        <v>112</v>
      </c>
      <c r="E85" s="117">
        <v>5000</v>
      </c>
      <c r="F85" s="117">
        <v>0</v>
      </c>
      <c r="G85" s="117">
        <v>50000</v>
      </c>
    </row>
    <row r="86" spans="1:7" x14ac:dyDescent="0.25">
      <c r="B86" s="37"/>
      <c r="C86" s="37"/>
      <c r="D86" s="37" t="s">
        <v>177</v>
      </c>
      <c r="E86" s="117">
        <v>2000</v>
      </c>
      <c r="F86" s="117">
        <v>0</v>
      </c>
      <c r="G86" s="117">
        <v>0</v>
      </c>
    </row>
    <row r="87" spans="1:7" x14ac:dyDescent="0.25">
      <c r="B87" s="37"/>
      <c r="C87" s="37"/>
      <c r="D87" s="78" t="s">
        <v>339</v>
      </c>
      <c r="E87" s="131"/>
      <c r="F87" s="131">
        <v>0</v>
      </c>
      <c r="G87" s="131">
        <v>0</v>
      </c>
    </row>
    <row r="88" spans="1:7" x14ac:dyDescent="0.25">
      <c r="B88" s="58"/>
      <c r="C88" s="58"/>
      <c r="D88" s="262" t="s">
        <v>113</v>
      </c>
      <c r="E88" s="118">
        <f>E89</f>
        <v>4500</v>
      </c>
      <c r="F88" s="118"/>
      <c r="G88" s="118"/>
    </row>
    <row r="89" spans="1:7" x14ac:dyDescent="0.25">
      <c r="B89" s="49">
        <v>412000</v>
      </c>
      <c r="C89" s="49"/>
      <c r="D89" s="263" t="s">
        <v>108</v>
      </c>
      <c r="E89" s="111">
        <f>E90+E91+E92+E93</f>
        <v>4500</v>
      </c>
      <c r="F89" s="111">
        <v>0</v>
      </c>
      <c r="G89" s="111">
        <v>0</v>
      </c>
    </row>
    <row r="90" spans="1:7" x14ac:dyDescent="0.25">
      <c r="B90" s="57">
        <v>412400</v>
      </c>
      <c r="C90" s="56"/>
      <c r="D90" s="264" t="s">
        <v>114</v>
      </c>
      <c r="E90" s="117">
        <v>2000</v>
      </c>
      <c r="F90" s="117">
        <v>0</v>
      </c>
      <c r="G90" s="117">
        <v>0</v>
      </c>
    </row>
    <row r="91" spans="1:7" s="60" customFormat="1" x14ac:dyDescent="0.25">
      <c r="A91" s="59"/>
      <c r="B91" s="55">
        <v>412600</v>
      </c>
      <c r="C91" s="43"/>
      <c r="D91" s="264" t="s">
        <v>54</v>
      </c>
      <c r="E91" s="117">
        <v>1500</v>
      </c>
      <c r="F91" s="117"/>
      <c r="G91" s="117">
        <v>0</v>
      </c>
    </row>
    <row r="92" spans="1:7" x14ac:dyDescent="0.25">
      <c r="B92" s="55">
        <v>412700</v>
      </c>
      <c r="C92" s="43"/>
      <c r="D92" s="264" t="s">
        <v>109</v>
      </c>
      <c r="E92" s="117">
        <v>0</v>
      </c>
      <c r="F92" s="117">
        <v>0</v>
      </c>
      <c r="G92" s="117">
        <v>0</v>
      </c>
    </row>
    <row r="93" spans="1:7" ht="30" x14ac:dyDescent="0.25">
      <c r="B93" s="55">
        <v>412900</v>
      </c>
      <c r="C93" s="43"/>
      <c r="D93" s="265" t="s">
        <v>110</v>
      </c>
      <c r="E93" s="117">
        <v>1000</v>
      </c>
      <c r="F93" s="117">
        <v>0</v>
      </c>
      <c r="G93" s="117">
        <v>0</v>
      </c>
    </row>
    <row r="94" spans="1:7" x14ac:dyDescent="0.25">
      <c r="B94" s="371" t="s">
        <v>70</v>
      </c>
      <c r="C94" s="371"/>
      <c r="D94" s="371"/>
      <c r="E94" s="120">
        <f>E88+E79+E77+E34</f>
        <v>1048500</v>
      </c>
      <c r="F94" s="120">
        <f>F77+F67+F66+F64+F49+F47+F45+F42+F35</f>
        <v>654862.20000000007</v>
      </c>
      <c r="G94" s="120">
        <f>G84+G66+G64+G49+G47+G45+G42+G35</f>
        <v>256400</v>
      </c>
    </row>
    <row r="95" spans="1:7" x14ac:dyDescent="0.25">
      <c r="B95" s="37"/>
      <c r="C95" s="37"/>
      <c r="D95" s="37"/>
      <c r="E95" s="101"/>
      <c r="F95" s="101"/>
      <c r="G95" s="101"/>
    </row>
    <row r="96" spans="1:7" x14ac:dyDescent="0.25">
      <c r="B96" s="37"/>
      <c r="C96" s="37"/>
      <c r="D96" s="266" t="s">
        <v>115</v>
      </c>
      <c r="E96" s="101"/>
      <c r="F96" s="101"/>
      <c r="G96" s="101"/>
    </row>
    <row r="97" spans="1:7" ht="36" customHeight="1" x14ac:dyDescent="0.25">
      <c r="B97" s="37"/>
      <c r="C97" s="37"/>
      <c r="D97" s="245" t="s">
        <v>116</v>
      </c>
      <c r="E97" s="101"/>
      <c r="F97" s="101"/>
      <c r="G97" s="101"/>
    </row>
    <row r="98" spans="1:7" x14ac:dyDescent="0.25">
      <c r="B98" s="61">
        <v>410000</v>
      </c>
      <c r="C98" s="38"/>
      <c r="D98" s="38" t="s">
        <v>50</v>
      </c>
      <c r="E98" s="110">
        <f>E99+E104</f>
        <v>1369828</v>
      </c>
      <c r="F98" s="110"/>
      <c r="G98" s="110"/>
    </row>
    <row r="99" spans="1:7" x14ac:dyDescent="0.25">
      <c r="B99" s="62">
        <v>411000</v>
      </c>
      <c r="C99" s="62"/>
      <c r="D99" s="62" t="s">
        <v>117</v>
      </c>
      <c r="E99" s="121">
        <f>E100+E101+E102+E103</f>
        <v>1075028</v>
      </c>
      <c r="F99" s="121">
        <f>F100+F101+F102+F103</f>
        <v>684166.71</v>
      </c>
      <c r="G99" s="121">
        <f>G100+G101+G102+G103</f>
        <v>1216957</v>
      </c>
    </row>
    <row r="100" spans="1:7" x14ac:dyDescent="0.25">
      <c r="B100" s="37"/>
      <c r="C100" s="37">
        <v>411100</v>
      </c>
      <c r="D100" s="37" t="s">
        <v>118</v>
      </c>
      <c r="E100" s="101">
        <v>960000</v>
      </c>
      <c r="F100" s="101">
        <v>603123.77</v>
      </c>
      <c r="G100" s="101">
        <f>980000+104457</f>
        <v>1084457</v>
      </c>
    </row>
    <row r="101" spans="1:7" x14ac:dyDescent="0.25">
      <c r="B101" s="37"/>
      <c r="C101" s="37">
        <v>411200</v>
      </c>
      <c r="D101" s="40" t="s">
        <v>119</v>
      </c>
      <c r="E101" s="101">
        <v>110000</v>
      </c>
      <c r="F101" s="101">
        <v>64076.08</v>
      </c>
      <c r="G101" s="101">
        <v>110000</v>
      </c>
    </row>
    <row r="102" spans="1:7" ht="30" x14ac:dyDescent="0.25">
      <c r="B102" s="37"/>
      <c r="C102" s="37">
        <v>411300</v>
      </c>
      <c r="D102" s="40" t="s">
        <v>354</v>
      </c>
      <c r="E102" s="101">
        <v>2100</v>
      </c>
      <c r="F102" s="101">
        <v>4702.7</v>
      </c>
      <c r="G102" s="101">
        <v>6500</v>
      </c>
    </row>
    <row r="103" spans="1:7" ht="30" x14ac:dyDescent="0.25">
      <c r="B103" s="37"/>
      <c r="C103" s="37">
        <v>411400</v>
      </c>
      <c r="D103" s="40" t="s">
        <v>355</v>
      </c>
      <c r="E103" s="101">
        <f>3000-72</f>
        <v>2928</v>
      </c>
      <c r="F103" s="101">
        <v>12264.16</v>
      </c>
      <c r="G103" s="101">
        <v>16000</v>
      </c>
    </row>
    <row r="104" spans="1:7" ht="33.75" customHeight="1" x14ac:dyDescent="0.25">
      <c r="B104" s="63">
        <v>412000</v>
      </c>
      <c r="C104" s="64"/>
      <c r="D104" s="64" t="s">
        <v>108</v>
      </c>
      <c r="E104" s="122">
        <f>SUM(E105:E113)</f>
        <v>294800</v>
      </c>
      <c r="F104" s="122">
        <f>F105+F106+F107+F108+F109+F110+F111+F112+F113</f>
        <v>239208.90999999997</v>
      </c>
      <c r="G104" s="122">
        <f>G105+G106+G107+G108+G109+G110+G111+G112+G113</f>
        <v>371800</v>
      </c>
    </row>
    <row r="105" spans="1:7" x14ac:dyDescent="0.25">
      <c r="B105" s="65">
        <v>412100</v>
      </c>
      <c r="C105" s="66"/>
      <c r="D105" s="265" t="s">
        <v>120</v>
      </c>
      <c r="E105" s="123">
        <v>175000</v>
      </c>
      <c r="F105" s="123">
        <v>88558</v>
      </c>
      <c r="G105" s="123">
        <v>173000</v>
      </c>
    </row>
    <row r="106" spans="1:7" s="60" customFormat="1" x14ac:dyDescent="0.25">
      <c r="A106" s="59"/>
      <c r="B106" s="67">
        <v>412300</v>
      </c>
      <c r="C106" s="37"/>
      <c r="D106" s="37" t="s">
        <v>121</v>
      </c>
      <c r="E106" s="123">
        <v>800</v>
      </c>
      <c r="F106" s="123">
        <v>800</v>
      </c>
      <c r="G106" s="123">
        <v>800</v>
      </c>
    </row>
    <row r="107" spans="1:7" x14ac:dyDescent="0.25">
      <c r="B107" s="65">
        <v>412700</v>
      </c>
      <c r="C107" s="43"/>
      <c r="D107" s="43" t="s">
        <v>122</v>
      </c>
      <c r="E107" s="123">
        <v>5000</v>
      </c>
      <c r="F107" s="123">
        <v>0</v>
      </c>
      <c r="G107" s="123">
        <v>3000</v>
      </c>
    </row>
    <row r="108" spans="1:7" x14ac:dyDescent="0.25">
      <c r="B108" s="65">
        <v>412300</v>
      </c>
      <c r="C108" s="43"/>
      <c r="D108" s="43" t="s">
        <v>228</v>
      </c>
      <c r="E108" s="123">
        <v>22000</v>
      </c>
      <c r="F108" s="123">
        <f>1822.04+9240.49+204.75+887.96</f>
        <v>12155.239999999998</v>
      </c>
      <c r="G108" s="123">
        <v>20000</v>
      </c>
    </row>
    <row r="109" spans="1:7" ht="30" x14ac:dyDescent="0.25">
      <c r="B109" s="67">
        <v>412700</v>
      </c>
      <c r="C109" s="37"/>
      <c r="D109" s="40" t="s">
        <v>123</v>
      </c>
      <c r="E109" s="123">
        <v>45000</v>
      </c>
      <c r="F109" s="123">
        <f>6700.66+5882.88+6605.51+2035.92+4408.24+1123.2</f>
        <v>26756.41</v>
      </c>
      <c r="G109" s="123">
        <v>38000</v>
      </c>
    </row>
    <row r="110" spans="1:7" x14ac:dyDescent="0.25">
      <c r="B110" s="67">
        <v>412900</v>
      </c>
      <c r="C110" s="37"/>
      <c r="D110" s="37" t="s">
        <v>124</v>
      </c>
      <c r="E110" s="123">
        <v>2000</v>
      </c>
      <c r="F110" s="123">
        <v>3299.8</v>
      </c>
      <c r="G110" s="123">
        <v>5000</v>
      </c>
    </row>
    <row r="111" spans="1:7" x14ac:dyDescent="0.25">
      <c r="B111" s="67"/>
      <c r="C111" s="37"/>
      <c r="D111" s="37" t="s">
        <v>125</v>
      </c>
      <c r="E111" s="123">
        <v>2000</v>
      </c>
      <c r="F111" s="123">
        <v>9600</v>
      </c>
      <c r="G111" s="123">
        <v>45000</v>
      </c>
    </row>
    <row r="112" spans="1:7" x14ac:dyDescent="0.25">
      <c r="B112" s="67"/>
      <c r="C112" s="37"/>
      <c r="D112" s="37" t="s">
        <v>126</v>
      </c>
      <c r="E112" s="123">
        <v>35000</v>
      </c>
      <c r="F112" s="123">
        <v>81790.45</v>
      </c>
      <c r="G112" s="123">
        <v>70000</v>
      </c>
    </row>
    <row r="113" spans="2:7" x14ac:dyDescent="0.25">
      <c r="B113" s="67"/>
      <c r="C113" s="37"/>
      <c r="D113" s="40" t="s">
        <v>127</v>
      </c>
      <c r="E113" s="123">
        <v>8000</v>
      </c>
      <c r="F113" s="123">
        <v>16249.01</v>
      </c>
      <c r="G113" s="123">
        <v>17000</v>
      </c>
    </row>
    <row r="114" spans="2:7" ht="25.5" x14ac:dyDescent="0.25">
      <c r="B114" s="354">
        <v>413000</v>
      </c>
      <c r="C114" s="355"/>
      <c r="D114" s="391" t="s">
        <v>271</v>
      </c>
      <c r="E114" s="385">
        <v>0</v>
      </c>
      <c r="F114" s="385">
        <v>0</v>
      </c>
      <c r="G114" s="385">
        <f>G115</f>
        <v>94143</v>
      </c>
    </row>
    <row r="115" spans="2:7" x14ac:dyDescent="0.25">
      <c r="B115" s="67">
        <v>413300</v>
      </c>
      <c r="C115" s="37"/>
      <c r="D115" s="186" t="s">
        <v>272</v>
      </c>
      <c r="E115" s="123">
        <v>0</v>
      </c>
      <c r="F115" s="123">
        <v>0</v>
      </c>
      <c r="G115" s="123">
        <v>94143</v>
      </c>
    </row>
    <row r="116" spans="2:7" x14ac:dyDescent="0.25">
      <c r="B116" s="238">
        <v>480000</v>
      </c>
      <c r="C116" s="53"/>
      <c r="D116" s="267" t="s">
        <v>323</v>
      </c>
      <c r="E116" s="239">
        <f>E117</f>
        <v>4000</v>
      </c>
      <c r="F116" s="239">
        <f>F117</f>
        <v>10922.73</v>
      </c>
      <c r="G116" s="239">
        <f>G117</f>
        <v>14000</v>
      </c>
    </row>
    <row r="117" spans="2:7" x14ac:dyDescent="0.25">
      <c r="B117" s="67">
        <v>487000</v>
      </c>
      <c r="C117" s="37"/>
      <c r="D117" s="40" t="s">
        <v>324</v>
      </c>
      <c r="E117" s="123">
        <v>4000</v>
      </c>
      <c r="F117" s="123">
        <f>6911.46+3858.62+152.65</f>
        <v>10922.73</v>
      </c>
      <c r="G117" s="123">
        <v>14000</v>
      </c>
    </row>
    <row r="118" spans="2:7" x14ac:dyDescent="0.25">
      <c r="B118" s="61">
        <v>510000</v>
      </c>
      <c r="C118" s="61"/>
      <c r="D118" s="61" t="s">
        <v>106</v>
      </c>
      <c r="E118" s="124">
        <f>E119+E124</f>
        <v>17000</v>
      </c>
      <c r="F118" s="124"/>
      <c r="G118" s="124">
        <f>G119+G124</f>
        <v>20000</v>
      </c>
    </row>
    <row r="119" spans="2:7" x14ac:dyDescent="0.25">
      <c r="B119" s="68"/>
      <c r="C119" s="68"/>
      <c r="D119" s="268" t="s">
        <v>128</v>
      </c>
      <c r="E119" s="114">
        <f>E120+E121+E122+E123</f>
        <v>4000</v>
      </c>
      <c r="F119" s="114">
        <f>F120+F121+F122+F123</f>
        <v>768.38</v>
      </c>
      <c r="G119" s="114">
        <f>G120+G121+G122+G123</f>
        <v>6000</v>
      </c>
    </row>
    <row r="120" spans="2:7" x14ac:dyDescent="0.25">
      <c r="B120" s="37">
        <v>511300</v>
      </c>
      <c r="C120" s="37"/>
      <c r="D120" s="37" t="s">
        <v>129</v>
      </c>
      <c r="E120" s="101">
        <v>1000</v>
      </c>
      <c r="F120" s="101">
        <v>0</v>
      </c>
      <c r="G120" s="101">
        <v>1500</v>
      </c>
    </row>
    <row r="121" spans="2:7" x14ac:dyDescent="0.25">
      <c r="B121" s="37">
        <v>511300</v>
      </c>
      <c r="C121" s="37"/>
      <c r="D121" s="37" t="s">
        <v>130</v>
      </c>
      <c r="E121" s="101">
        <v>1000</v>
      </c>
      <c r="F121" s="101">
        <v>768.38</v>
      </c>
      <c r="G121" s="101">
        <v>2500</v>
      </c>
    </row>
    <row r="122" spans="2:7" x14ac:dyDescent="0.25">
      <c r="B122" s="43">
        <v>513000</v>
      </c>
      <c r="C122" s="43"/>
      <c r="D122" s="43" t="s">
        <v>131</v>
      </c>
      <c r="E122" s="101">
        <v>1000</v>
      </c>
      <c r="F122" s="101">
        <v>0</v>
      </c>
      <c r="G122" s="101">
        <v>0</v>
      </c>
    </row>
    <row r="123" spans="2:7" x14ac:dyDescent="0.25">
      <c r="B123" s="43">
        <v>511300</v>
      </c>
      <c r="C123" s="43"/>
      <c r="D123" s="43" t="s">
        <v>132</v>
      </c>
      <c r="E123" s="101">
        <v>1000</v>
      </c>
      <c r="F123" s="101">
        <v>0</v>
      </c>
      <c r="G123" s="101">
        <v>2000</v>
      </c>
    </row>
    <row r="124" spans="2:7" ht="30" x14ac:dyDescent="0.25">
      <c r="B124" s="69"/>
      <c r="C124" s="69"/>
      <c r="D124" s="269" t="s">
        <v>133</v>
      </c>
      <c r="E124" s="125">
        <f>E125</f>
        <v>13000</v>
      </c>
      <c r="F124" s="125">
        <f>F125</f>
        <v>13929.5</v>
      </c>
      <c r="G124" s="125">
        <f>G125</f>
        <v>14000</v>
      </c>
    </row>
    <row r="125" spans="2:7" x14ac:dyDescent="0.25">
      <c r="B125" s="37">
        <v>516100</v>
      </c>
      <c r="C125" s="37"/>
      <c r="D125" s="37" t="s">
        <v>134</v>
      </c>
      <c r="E125" s="101">
        <v>13000</v>
      </c>
      <c r="F125" s="101">
        <f>7157.83+6771.67</f>
        <v>13929.5</v>
      </c>
      <c r="G125" s="101">
        <v>14000</v>
      </c>
    </row>
    <row r="126" spans="2:7" x14ac:dyDescent="0.25">
      <c r="B126" s="356">
        <v>621000</v>
      </c>
      <c r="C126" s="326"/>
      <c r="D126" s="356" t="s">
        <v>320</v>
      </c>
      <c r="E126" s="327">
        <v>0</v>
      </c>
      <c r="F126" s="327">
        <v>0</v>
      </c>
      <c r="G126" s="327">
        <f>G127</f>
        <v>55079</v>
      </c>
    </row>
    <row r="127" spans="2:7" x14ac:dyDescent="0.25">
      <c r="B127" s="37">
        <v>621300</v>
      </c>
      <c r="C127" s="37"/>
      <c r="D127" s="37" t="s">
        <v>364</v>
      </c>
      <c r="E127" s="101">
        <v>0</v>
      </c>
      <c r="F127" s="101">
        <v>0</v>
      </c>
      <c r="G127" s="101">
        <v>55079</v>
      </c>
    </row>
    <row r="128" spans="2:7" x14ac:dyDescent="0.25">
      <c r="B128" s="372" t="s">
        <v>70</v>
      </c>
      <c r="C128" s="372"/>
      <c r="D128" s="372"/>
      <c r="E128" s="126">
        <f>E118+E98+E116</f>
        <v>1390828</v>
      </c>
      <c r="F128" s="126">
        <f>F124+F119+F116+F104+F99</f>
        <v>948996.23</v>
      </c>
      <c r="G128" s="126">
        <f>G126+G118+G99+G104+G116+G114</f>
        <v>1771979</v>
      </c>
    </row>
    <row r="129" spans="2:7" x14ac:dyDescent="0.25">
      <c r="B129" s="37"/>
      <c r="C129" s="37"/>
      <c r="D129" s="37"/>
      <c r="E129" s="101"/>
      <c r="F129" s="101"/>
      <c r="G129" s="101"/>
    </row>
    <row r="130" spans="2:7" x14ac:dyDescent="0.25">
      <c r="B130" s="37"/>
      <c r="C130" s="37"/>
      <c r="D130" s="266" t="s">
        <v>135</v>
      </c>
      <c r="E130" s="101"/>
      <c r="F130" s="101"/>
      <c r="G130" s="101"/>
    </row>
    <row r="131" spans="2:7" x14ac:dyDescent="0.25">
      <c r="B131" s="37"/>
      <c r="C131" s="37"/>
      <c r="D131" s="245" t="s">
        <v>136</v>
      </c>
      <c r="E131" s="101"/>
      <c r="F131" s="101"/>
      <c r="G131" s="101"/>
    </row>
    <row r="132" spans="2:7" x14ac:dyDescent="0.25">
      <c r="B132" s="70">
        <v>410000</v>
      </c>
      <c r="C132" s="38"/>
      <c r="D132" s="38" t="s">
        <v>50</v>
      </c>
      <c r="E132" s="110">
        <f>E133+E139</f>
        <v>25000</v>
      </c>
      <c r="F132" s="110"/>
      <c r="G132" s="110"/>
    </row>
    <row r="133" spans="2:7" x14ac:dyDescent="0.25">
      <c r="B133" s="71">
        <v>412900</v>
      </c>
      <c r="C133" s="72"/>
      <c r="D133" s="72" t="s">
        <v>60</v>
      </c>
      <c r="E133" s="127">
        <f>E134+E135+E136</f>
        <v>14000</v>
      </c>
      <c r="F133" s="127">
        <f>F134+F135+F136+F137+F138</f>
        <v>30326.629999999997</v>
      </c>
      <c r="G133" s="127">
        <f>G134+G135+G136+G137+G138</f>
        <v>32600</v>
      </c>
    </row>
    <row r="134" spans="2:7" x14ac:dyDescent="0.25">
      <c r="B134" s="37"/>
      <c r="C134" s="37"/>
      <c r="D134" s="37" t="s">
        <v>137</v>
      </c>
      <c r="E134" s="101">
        <v>5000</v>
      </c>
      <c r="F134" s="101">
        <v>2121</v>
      </c>
      <c r="G134" s="101">
        <v>4000</v>
      </c>
    </row>
    <row r="135" spans="2:7" x14ac:dyDescent="0.25">
      <c r="B135" s="37"/>
      <c r="C135" s="37"/>
      <c r="D135" s="37" t="s">
        <v>138</v>
      </c>
      <c r="E135" s="101">
        <v>4000</v>
      </c>
      <c r="F135" s="101">
        <v>10307.629999999999</v>
      </c>
      <c r="G135" s="101">
        <v>11000</v>
      </c>
    </row>
    <row r="136" spans="2:7" x14ac:dyDescent="0.25">
      <c r="B136" s="37"/>
      <c r="C136" s="37"/>
      <c r="D136" s="37" t="s">
        <v>178</v>
      </c>
      <c r="E136" s="101">
        <v>5000</v>
      </c>
      <c r="F136" s="101">
        <v>21.24</v>
      </c>
      <c r="G136" s="101">
        <v>2000</v>
      </c>
    </row>
    <row r="137" spans="2:7" x14ac:dyDescent="0.25">
      <c r="B137" s="37"/>
      <c r="C137" s="37"/>
      <c r="D137" s="37" t="s">
        <v>360</v>
      </c>
      <c r="E137" s="101">
        <v>0</v>
      </c>
      <c r="F137" s="101">
        <v>17809.759999999998</v>
      </c>
      <c r="G137" s="101">
        <v>15000</v>
      </c>
    </row>
    <row r="138" spans="2:7" x14ac:dyDescent="0.25">
      <c r="B138" s="37"/>
      <c r="C138" s="37"/>
      <c r="D138" s="37" t="s">
        <v>60</v>
      </c>
      <c r="E138" s="101">
        <v>0</v>
      </c>
      <c r="F138" s="101">
        <v>67</v>
      </c>
      <c r="G138" s="101">
        <v>600</v>
      </c>
    </row>
    <row r="139" spans="2:7" x14ac:dyDescent="0.25">
      <c r="B139" s="71">
        <v>415200</v>
      </c>
      <c r="C139" s="72"/>
      <c r="D139" s="72" t="s">
        <v>139</v>
      </c>
      <c r="E139" s="127">
        <f>E140</f>
        <v>11000</v>
      </c>
      <c r="F139" s="127">
        <f>F140</f>
        <v>32404.66</v>
      </c>
      <c r="G139" s="127">
        <f>G140</f>
        <v>38000</v>
      </c>
    </row>
    <row r="140" spans="2:7" x14ac:dyDescent="0.25">
      <c r="B140" s="37"/>
      <c r="C140" s="37"/>
      <c r="D140" s="37" t="s">
        <v>140</v>
      </c>
      <c r="E140" s="101">
        <v>11000</v>
      </c>
      <c r="F140" s="101">
        <f>12105.26+3000+7048.4+9900+351</f>
        <v>32404.66</v>
      </c>
      <c r="G140" s="101">
        <v>38000</v>
      </c>
    </row>
    <row r="141" spans="2:7" x14ac:dyDescent="0.25">
      <c r="B141" s="328">
        <v>416100</v>
      </c>
      <c r="C141" s="324"/>
      <c r="D141" s="324"/>
      <c r="E141" s="325"/>
      <c r="F141" s="325"/>
      <c r="G141" s="329">
        <f>G142+G143+G144+G145+G146+G147</f>
        <v>357000</v>
      </c>
    </row>
    <row r="142" spans="2:7" ht="30" x14ac:dyDescent="0.25">
      <c r="B142" s="37"/>
      <c r="C142" s="37"/>
      <c r="D142" s="259" t="s">
        <v>99</v>
      </c>
      <c r="E142" s="101">
        <v>190000</v>
      </c>
      <c r="F142" s="101">
        <v>76540</v>
      </c>
      <c r="G142" s="101">
        <v>190000</v>
      </c>
    </row>
    <row r="143" spans="2:7" x14ac:dyDescent="0.25">
      <c r="B143" s="37"/>
      <c r="C143" s="37"/>
      <c r="D143" s="259" t="s">
        <v>100</v>
      </c>
      <c r="E143" s="101">
        <v>6000</v>
      </c>
      <c r="F143" s="101">
        <v>0</v>
      </c>
      <c r="G143" s="101">
        <v>5000</v>
      </c>
    </row>
    <row r="144" spans="2:7" x14ac:dyDescent="0.25">
      <c r="B144" s="37"/>
      <c r="C144" s="37"/>
      <c r="D144" s="259" t="s">
        <v>102</v>
      </c>
      <c r="E144" s="101">
        <v>120000</v>
      </c>
      <c r="F144" s="101">
        <v>69333</v>
      </c>
      <c r="G144" s="101">
        <v>120000</v>
      </c>
    </row>
    <row r="145" spans="2:7" x14ac:dyDescent="0.25">
      <c r="B145" s="37"/>
      <c r="C145" s="37"/>
      <c r="D145" s="259" t="s">
        <v>101</v>
      </c>
      <c r="E145" s="101">
        <v>23000</v>
      </c>
      <c r="F145" s="101">
        <v>0</v>
      </c>
      <c r="G145" s="101">
        <v>16000</v>
      </c>
    </row>
    <row r="146" spans="2:7" x14ac:dyDescent="0.25">
      <c r="B146" s="37"/>
      <c r="C146" s="37"/>
      <c r="D146" s="259" t="s">
        <v>103</v>
      </c>
      <c r="E146" s="101">
        <v>33000</v>
      </c>
      <c r="F146" s="101">
        <v>8795</v>
      </c>
      <c r="G146" s="101">
        <v>25000</v>
      </c>
    </row>
    <row r="147" spans="2:7" x14ac:dyDescent="0.25">
      <c r="B147" s="37"/>
      <c r="C147" s="37"/>
      <c r="D147" s="259" t="s">
        <v>104</v>
      </c>
      <c r="E147" s="101">
        <v>2000</v>
      </c>
      <c r="F147" s="101">
        <v>0</v>
      </c>
      <c r="G147" s="101">
        <v>1000</v>
      </c>
    </row>
    <row r="148" spans="2:7" x14ac:dyDescent="0.25">
      <c r="B148" s="73" t="s">
        <v>141</v>
      </c>
      <c r="C148" s="73"/>
      <c r="D148" s="73" t="s">
        <v>142</v>
      </c>
      <c r="E148" s="270">
        <v>100000</v>
      </c>
      <c r="F148" s="270">
        <v>100000</v>
      </c>
      <c r="G148" s="270">
        <v>150000</v>
      </c>
    </row>
    <row r="149" spans="2:7" x14ac:dyDescent="0.25">
      <c r="B149" s="372" t="s">
        <v>70</v>
      </c>
      <c r="C149" s="372"/>
      <c r="D149" s="372"/>
      <c r="E149" s="120">
        <f>E148+E132</f>
        <v>125000</v>
      </c>
      <c r="F149" s="120">
        <f>F148+F139+F133</f>
        <v>162731.29</v>
      </c>
      <c r="G149" s="120">
        <f>G141+G139+G133+G148</f>
        <v>577600</v>
      </c>
    </row>
    <row r="150" spans="2:7" x14ac:dyDescent="0.25">
      <c r="B150" s="37"/>
      <c r="C150" s="37"/>
      <c r="D150" s="37"/>
      <c r="E150" s="101"/>
      <c r="F150" s="101"/>
      <c r="G150" s="101"/>
    </row>
    <row r="151" spans="2:7" x14ac:dyDescent="0.25">
      <c r="B151" s="37"/>
      <c r="C151" s="37"/>
      <c r="D151" s="37"/>
      <c r="E151" s="101"/>
      <c r="F151" s="101"/>
      <c r="G151" s="101"/>
    </row>
    <row r="152" spans="2:7" ht="45" x14ac:dyDescent="0.25">
      <c r="B152" s="37"/>
      <c r="C152" s="37"/>
      <c r="D152" s="251" t="s">
        <v>143</v>
      </c>
      <c r="E152" s="101"/>
      <c r="F152" s="101"/>
      <c r="G152" s="101"/>
    </row>
    <row r="153" spans="2:7" ht="44.25" customHeight="1" x14ac:dyDescent="0.25">
      <c r="B153" s="37"/>
      <c r="C153" s="37"/>
      <c r="D153" s="251" t="s">
        <v>144</v>
      </c>
      <c r="E153" s="101"/>
      <c r="F153" s="101"/>
      <c r="G153" s="101"/>
    </row>
    <row r="154" spans="2:7" x14ac:dyDescent="0.25">
      <c r="B154" s="46">
        <v>410000</v>
      </c>
      <c r="C154" s="46"/>
      <c r="D154" s="46" t="s">
        <v>145</v>
      </c>
      <c r="E154" s="128">
        <f>E155+E157+E161+E163</f>
        <v>1938500</v>
      </c>
      <c r="F154" s="128"/>
      <c r="G154" s="128"/>
    </row>
    <row r="155" spans="2:7" x14ac:dyDescent="0.25">
      <c r="B155" s="74">
        <v>412000</v>
      </c>
      <c r="C155" s="75"/>
      <c r="D155" s="75" t="s">
        <v>108</v>
      </c>
      <c r="E155" s="129">
        <f>E156</f>
        <v>9000</v>
      </c>
      <c r="F155" s="129">
        <f>F156</f>
        <v>6000</v>
      </c>
      <c r="G155" s="129">
        <f>G156</f>
        <v>9000</v>
      </c>
    </row>
    <row r="156" spans="2:7" ht="45" x14ac:dyDescent="0.25">
      <c r="B156" s="76"/>
      <c r="C156" s="77"/>
      <c r="D156" s="271" t="s">
        <v>146</v>
      </c>
      <c r="E156" s="130">
        <v>9000</v>
      </c>
      <c r="F156" s="130">
        <v>6000</v>
      </c>
      <c r="G156" s="130">
        <v>9000</v>
      </c>
    </row>
    <row r="157" spans="2:7" x14ac:dyDescent="0.25">
      <c r="B157" s="48">
        <v>414000</v>
      </c>
      <c r="C157" s="49"/>
      <c r="D157" s="49" t="s">
        <v>147</v>
      </c>
      <c r="E157" s="111">
        <f>E158+E159+E160</f>
        <v>203000</v>
      </c>
      <c r="F157" s="111">
        <f>F158+F159+F160</f>
        <v>64379.08</v>
      </c>
      <c r="G157" s="111">
        <f>G158+G159+G160</f>
        <v>205000</v>
      </c>
    </row>
    <row r="158" spans="2:7" x14ac:dyDescent="0.25">
      <c r="B158" s="78"/>
      <c r="C158" s="78"/>
      <c r="D158" s="78" t="s">
        <v>365</v>
      </c>
      <c r="E158" s="131">
        <v>88000</v>
      </c>
      <c r="F158" s="131">
        <v>30878.98</v>
      </c>
      <c r="G158" s="131">
        <v>90000</v>
      </c>
    </row>
    <row r="159" spans="2:7" x14ac:dyDescent="0.25">
      <c r="B159" s="78"/>
      <c r="C159" s="78"/>
      <c r="D159" s="78" t="s">
        <v>148</v>
      </c>
      <c r="E159" s="131">
        <v>110000</v>
      </c>
      <c r="F159" s="131">
        <v>33200.1</v>
      </c>
      <c r="G159" s="131">
        <v>110000</v>
      </c>
    </row>
    <row r="160" spans="2:7" ht="30" x14ac:dyDescent="0.25">
      <c r="B160" s="78"/>
      <c r="C160" s="78"/>
      <c r="D160" s="82" t="s">
        <v>179</v>
      </c>
      <c r="E160" s="131">
        <v>5000</v>
      </c>
      <c r="F160" s="131">
        <v>300</v>
      </c>
      <c r="G160" s="131">
        <v>5000</v>
      </c>
    </row>
    <row r="161" spans="2:7" x14ac:dyDescent="0.25">
      <c r="B161" s="48">
        <v>416000</v>
      </c>
      <c r="C161" s="49"/>
      <c r="D161" s="49" t="s">
        <v>149</v>
      </c>
      <c r="E161" s="111">
        <f>E162</f>
        <v>345000</v>
      </c>
      <c r="F161" s="111">
        <f>F162</f>
        <v>175023.35</v>
      </c>
      <c r="G161" s="111">
        <f>G162</f>
        <v>305000</v>
      </c>
    </row>
    <row r="162" spans="2:7" x14ac:dyDescent="0.25">
      <c r="B162" s="78"/>
      <c r="C162" s="78"/>
      <c r="D162" s="78" t="s">
        <v>150</v>
      </c>
      <c r="E162" s="131">
        <v>345000</v>
      </c>
      <c r="F162" s="131">
        <v>175023.35</v>
      </c>
      <c r="G162" s="131">
        <v>305000</v>
      </c>
    </row>
    <row r="163" spans="2:7" x14ac:dyDescent="0.25">
      <c r="B163" s="48">
        <v>415000</v>
      </c>
      <c r="C163" s="49"/>
      <c r="D163" s="49" t="s">
        <v>139</v>
      </c>
      <c r="E163" s="111">
        <f>E168+E174+E181+E190+E199+E207+E165</f>
        <v>1381500</v>
      </c>
      <c r="F163" s="111">
        <f>F165+F168+F174+F181+F190+F199+F207</f>
        <v>1178205.77</v>
      </c>
      <c r="G163" s="111">
        <f>G166+G169+G170+G171+G172+G175+G176+G177+G178+G179+G182+G183+G184+G185+G186+G187+G188+G191+G192+G193+G194+G195+G196+G197+G200+G201+G202+G204+G203+G205+G208+G210+G212+G215</f>
        <v>1634000</v>
      </c>
    </row>
    <row r="164" spans="2:7" x14ac:dyDescent="0.25">
      <c r="B164" s="79"/>
      <c r="C164" s="80"/>
      <c r="D164" s="82"/>
      <c r="E164" s="131"/>
      <c r="F164" s="131"/>
      <c r="G164" s="131"/>
    </row>
    <row r="165" spans="2:7" x14ac:dyDescent="0.25">
      <c r="B165" s="79"/>
      <c r="C165" s="80"/>
      <c r="D165" s="272" t="s">
        <v>235</v>
      </c>
      <c r="E165" s="156">
        <f>E166</f>
        <v>29000</v>
      </c>
      <c r="F165" s="156">
        <f>F166</f>
        <v>9414.1</v>
      </c>
      <c r="G165" s="156"/>
    </row>
    <row r="166" spans="2:7" x14ac:dyDescent="0.25">
      <c r="B166" s="79"/>
      <c r="C166" s="80"/>
      <c r="D166" s="82" t="s">
        <v>236</v>
      </c>
      <c r="E166" s="131">
        <v>29000</v>
      </c>
      <c r="F166" s="131">
        <v>9414.1</v>
      </c>
      <c r="G166" s="131">
        <v>30000</v>
      </c>
    </row>
    <row r="167" spans="2:7" x14ac:dyDescent="0.25">
      <c r="B167" s="79"/>
      <c r="C167" s="80"/>
      <c r="D167" s="82"/>
      <c r="E167" s="131"/>
      <c r="F167" s="131"/>
      <c r="G167" s="131"/>
    </row>
    <row r="168" spans="2:7" x14ac:dyDescent="0.25">
      <c r="B168" s="79"/>
      <c r="C168" s="80"/>
      <c r="D168" s="273" t="s">
        <v>180</v>
      </c>
      <c r="E168" s="100">
        <f>E169+E170+E171+E172</f>
        <v>64000</v>
      </c>
      <c r="F168" s="100">
        <f>F169+F170+F171+F172</f>
        <v>39500</v>
      </c>
      <c r="G168" s="100"/>
    </row>
    <row r="169" spans="2:7" x14ac:dyDescent="0.25">
      <c r="B169" s="81"/>
      <c r="C169" s="56"/>
      <c r="D169" s="44" t="s">
        <v>181</v>
      </c>
      <c r="E169" s="131">
        <v>29000</v>
      </c>
      <c r="F169" s="131">
        <f>3000+2500+2500+2000+3000+3000+4000</f>
        <v>20000</v>
      </c>
      <c r="G169" s="131">
        <v>30000</v>
      </c>
    </row>
    <row r="170" spans="2:7" ht="30" x14ac:dyDescent="0.25">
      <c r="B170" s="81"/>
      <c r="C170" s="56"/>
      <c r="D170" s="44" t="s">
        <v>182</v>
      </c>
      <c r="E170" s="131">
        <v>19000</v>
      </c>
      <c r="F170" s="131">
        <f>1500+3000+2500+2000+3000+2000</f>
        <v>14000</v>
      </c>
      <c r="G170" s="131">
        <v>20000</v>
      </c>
    </row>
    <row r="171" spans="2:7" x14ac:dyDescent="0.25">
      <c r="B171" s="37"/>
      <c r="C171" s="37"/>
      <c r="D171" s="40" t="s">
        <v>183</v>
      </c>
      <c r="E171" s="131">
        <v>8000</v>
      </c>
      <c r="F171" s="131">
        <f>2500</f>
        <v>2500</v>
      </c>
      <c r="G171" s="131">
        <v>5000</v>
      </c>
    </row>
    <row r="172" spans="2:7" x14ac:dyDescent="0.25">
      <c r="B172" s="37"/>
      <c r="C172" s="37"/>
      <c r="D172" s="40" t="s">
        <v>152</v>
      </c>
      <c r="E172" s="131">
        <v>8000</v>
      </c>
      <c r="F172" s="131">
        <f>3000</f>
        <v>3000</v>
      </c>
      <c r="G172" s="131">
        <v>5000</v>
      </c>
    </row>
    <row r="173" spans="2:7" x14ac:dyDescent="0.25">
      <c r="B173" s="37"/>
      <c r="C173" s="37"/>
      <c r="D173" s="40"/>
      <c r="E173" s="131"/>
      <c r="F173" s="131"/>
      <c r="G173" s="131"/>
    </row>
    <row r="174" spans="2:7" x14ac:dyDescent="0.25">
      <c r="B174" s="37"/>
      <c r="C174" s="37"/>
      <c r="D174" s="274" t="s">
        <v>184</v>
      </c>
      <c r="E174" s="100">
        <f>E175+E176+E177+E178+E179</f>
        <v>26500</v>
      </c>
      <c r="F174" s="100">
        <f>F175+F176+F177+F178+F179</f>
        <v>23750</v>
      </c>
      <c r="G174" s="100"/>
    </row>
    <row r="175" spans="2:7" x14ac:dyDescent="0.25">
      <c r="B175" s="37"/>
      <c r="C175" s="37"/>
      <c r="D175" s="40" t="s">
        <v>151</v>
      </c>
      <c r="E175" s="131">
        <v>17000</v>
      </c>
      <c r="F175" s="131">
        <f>4000+4000+3000+3000+2000</f>
        <v>16000</v>
      </c>
      <c r="G175" s="131">
        <v>17000</v>
      </c>
    </row>
    <row r="176" spans="2:7" x14ac:dyDescent="0.25">
      <c r="B176" s="37"/>
      <c r="C176" s="37"/>
      <c r="D176" s="40" t="s">
        <v>185</v>
      </c>
      <c r="E176" s="131">
        <v>3000</v>
      </c>
      <c r="F176" s="131">
        <f>750+750+750</f>
        <v>2250</v>
      </c>
      <c r="G176" s="131">
        <v>3000</v>
      </c>
    </row>
    <row r="177" spans="1:7" x14ac:dyDescent="0.25">
      <c r="B177" s="37"/>
      <c r="C177" s="37"/>
      <c r="D177" s="40" t="s">
        <v>186</v>
      </c>
      <c r="E177" s="131">
        <v>2000</v>
      </c>
      <c r="F177" s="131">
        <f>2000</f>
        <v>2000</v>
      </c>
      <c r="G177" s="131">
        <v>2000</v>
      </c>
    </row>
    <row r="178" spans="1:7" x14ac:dyDescent="0.25">
      <c r="B178" s="78"/>
      <c r="C178" s="78"/>
      <c r="D178" s="82" t="s">
        <v>187</v>
      </c>
      <c r="E178" s="131">
        <v>3000</v>
      </c>
      <c r="F178" s="131">
        <f>1000+1000</f>
        <v>2000</v>
      </c>
      <c r="G178" s="131">
        <v>3000</v>
      </c>
    </row>
    <row r="179" spans="1:7" x14ac:dyDescent="0.25">
      <c r="B179" s="78"/>
      <c r="C179" s="78"/>
      <c r="D179" s="82" t="s">
        <v>233</v>
      </c>
      <c r="E179" s="131">
        <v>1500</v>
      </c>
      <c r="F179" s="131">
        <f>1500</f>
        <v>1500</v>
      </c>
      <c r="G179" s="131">
        <v>1500</v>
      </c>
    </row>
    <row r="180" spans="1:7" x14ac:dyDescent="0.25">
      <c r="B180" s="78"/>
      <c r="C180" s="78"/>
      <c r="D180" s="82"/>
      <c r="E180" s="131"/>
      <c r="F180" s="131"/>
      <c r="G180" s="131"/>
    </row>
    <row r="181" spans="1:7" x14ac:dyDescent="0.25">
      <c r="B181" s="78"/>
      <c r="C181" s="78"/>
      <c r="D181" s="273" t="s">
        <v>188</v>
      </c>
      <c r="E181" s="100">
        <f>E182+E183+E184+E185+E186+E187+E188</f>
        <v>21500</v>
      </c>
      <c r="F181" s="100">
        <f>F182+F183+F184+F185+F186+F187+F188</f>
        <v>17000</v>
      </c>
      <c r="G181" s="100"/>
    </row>
    <row r="182" spans="1:7" x14ac:dyDescent="0.25">
      <c r="B182" s="37"/>
      <c r="C182" s="37"/>
      <c r="D182" s="40" t="s">
        <v>189</v>
      </c>
      <c r="E182" s="131">
        <v>5500</v>
      </c>
      <c r="F182" s="131">
        <f>1000+2000</f>
        <v>3000</v>
      </c>
      <c r="G182" s="131">
        <v>6000</v>
      </c>
    </row>
    <row r="183" spans="1:7" x14ac:dyDescent="0.25">
      <c r="B183" s="37"/>
      <c r="C183" s="37"/>
      <c r="D183" s="40" t="s">
        <v>190</v>
      </c>
      <c r="E183" s="131">
        <v>5000</v>
      </c>
      <c r="F183" s="131">
        <f>2000+2500+1500</f>
        <v>6000</v>
      </c>
      <c r="G183" s="131">
        <v>4000</v>
      </c>
    </row>
    <row r="184" spans="1:7" x14ac:dyDescent="0.25">
      <c r="B184" s="37"/>
      <c r="C184" s="37"/>
      <c r="D184" s="40" t="s">
        <v>191</v>
      </c>
      <c r="E184" s="131">
        <v>2000</v>
      </c>
      <c r="F184" s="131">
        <f>2000</f>
        <v>2000</v>
      </c>
      <c r="G184" s="131">
        <v>1000</v>
      </c>
    </row>
    <row r="185" spans="1:7" x14ac:dyDescent="0.25">
      <c r="B185" s="37"/>
      <c r="C185" s="37"/>
      <c r="D185" s="40" t="s">
        <v>336</v>
      </c>
      <c r="E185" s="131">
        <v>5000</v>
      </c>
      <c r="F185" s="131">
        <f>1000+4000</f>
        <v>5000</v>
      </c>
      <c r="G185" s="131">
        <v>3000</v>
      </c>
    </row>
    <row r="186" spans="1:7" x14ac:dyDescent="0.25">
      <c r="B186" s="37"/>
      <c r="C186" s="37"/>
      <c r="D186" s="40" t="s">
        <v>347</v>
      </c>
      <c r="E186" s="131">
        <v>2000</v>
      </c>
      <c r="F186" s="131">
        <f>0</f>
        <v>0</v>
      </c>
      <c r="G186" s="131">
        <v>1000</v>
      </c>
    </row>
    <row r="187" spans="1:7" x14ac:dyDescent="0.25">
      <c r="B187" s="37"/>
      <c r="C187" s="37"/>
      <c r="D187" s="40" t="s">
        <v>348</v>
      </c>
      <c r="E187" s="131">
        <v>1000</v>
      </c>
      <c r="F187" s="131">
        <f>1000</f>
        <v>1000</v>
      </c>
      <c r="G187" s="131">
        <v>2000</v>
      </c>
    </row>
    <row r="188" spans="1:7" x14ac:dyDescent="0.25">
      <c r="B188" s="37"/>
      <c r="C188" s="37"/>
      <c r="D188" s="40" t="s">
        <v>349</v>
      </c>
      <c r="E188" s="131">
        <v>1000</v>
      </c>
      <c r="F188" s="131">
        <f>0</f>
        <v>0</v>
      </c>
      <c r="G188" s="131">
        <v>1000</v>
      </c>
    </row>
    <row r="189" spans="1:7" x14ac:dyDescent="0.25">
      <c r="B189" s="37"/>
      <c r="C189" s="37"/>
      <c r="D189" s="40"/>
      <c r="E189" s="131"/>
      <c r="F189" s="131"/>
      <c r="G189" s="131"/>
    </row>
    <row r="190" spans="1:7" x14ac:dyDescent="0.25">
      <c r="B190" s="37"/>
      <c r="C190" s="37"/>
      <c r="D190" s="274" t="s">
        <v>192</v>
      </c>
      <c r="E190" s="100">
        <f>E192+E193+E194+E195+E196+E191+E197</f>
        <v>87500</v>
      </c>
      <c r="F190" s="100">
        <f>F191+F192+F193+F194+F195+F196+F197</f>
        <v>76500</v>
      </c>
      <c r="G190" s="100"/>
    </row>
    <row r="191" spans="1:7" s="161" customFormat="1" x14ac:dyDescent="0.25">
      <c r="A191" s="158"/>
      <c r="B191" s="159"/>
      <c r="C191" s="159"/>
      <c r="D191" s="275" t="s">
        <v>238</v>
      </c>
      <c r="E191" s="160">
        <v>17000</v>
      </c>
      <c r="F191" s="160">
        <f>4000+4000+4000</f>
        <v>12000</v>
      </c>
      <c r="G191" s="160">
        <v>17000</v>
      </c>
    </row>
    <row r="192" spans="1:7" x14ac:dyDescent="0.25">
      <c r="B192" s="78"/>
      <c r="C192" s="78"/>
      <c r="D192" s="276" t="s">
        <v>193</v>
      </c>
      <c r="E192" s="131">
        <v>12500</v>
      </c>
      <c r="F192" s="131">
        <f>1000+2000+1500+2000+1500+4500</f>
        <v>12500</v>
      </c>
      <c r="G192" s="131">
        <v>18000</v>
      </c>
    </row>
    <row r="193" spans="2:7" x14ac:dyDescent="0.25">
      <c r="B193" s="78"/>
      <c r="C193" s="78"/>
      <c r="D193" s="82" t="s">
        <v>194</v>
      </c>
      <c r="E193" s="131">
        <v>5000</v>
      </c>
      <c r="F193" s="131">
        <f>5000</f>
        <v>5000</v>
      </c>
      <c r="G193" s="131">
        <v>15000</v>
      </c>
    </row>
    <row r="194" spans="2:7" x14ac:dyDescent="0.25">
      <c r="B194" s="78"/>
      <c r="C194" s="78"/>
      <c r="D194" s="82" t="s">
        <v>195</v>
      </c>
      <c r="E194" s="131">
        <v>8500</v>
      </c>
      <c r="F194" s="131">
        <f>3000+1000+1500</f>
        <v>5500</v>
      </c>
      <c r="G194" s="131">
        <v>7000</v>
      </c>
    </row>
    <row r="195" spans="2:7" x14ac:dyDescent="0.25">
      <c r="B195" s="78"/>
      <c r="C195" s="78"/>
      <c r="D195" s="82" t="s">
        <v>196</v>
      </c>
      <c r="E195" s="131">
        <v>1500</v>
      </c>
      <c r="F195" s="131">
        <f>1500</f>
        <v>1500</v>
      </c>
      <c r="G195" s="131">
        <v>1500</v>
      </c>
    </row>
    <row r="196" spans="2:7" x14ac:dyDescent="0.25">
      <c r="B196" s="78"/>
      <c r="C196" s="78"/>
      <c r="D196" s="82" t="s">
        <v>197</v>
      </c>
      <c r="E196" s="131">
        <v>3000</v>
      </c>
      <c r="F196" s="131">
        <f>0</f>
        <v>0</v>
      </c>
      <c r="G196" s="131">
        <v>3000</v>
      </c>
    </row>
    <row r="197" spans="2:7" x14ac:dyDescent="0.25">
      <c r="B197" s="78"/>
      <c r="C197" s="78"/>
      <c r="D197" s="82" t="s">
        <v>337</v>
      </c>
      <c r="E197" s="131">
        <v>40000</v>
      </c>
      <c r="F197" s="131">
        <f>40000</f>
        <v>40000</v>
      </c>
      <c r="G197" s="131">
        <v>70000</v>
      </c>
    </row>
    <row r="198" spans="2:7" x14ac:dyDescent="0.25">
      <c r="B198" s="78"/>
      <c r="C198" s="78"/>
      <c r="D198" s="82"/>
      <c r="E198" s="131"/>
      <c r="F198" s="131"/>
      <c r="G198" s="131"/>
    </row>
    <row r="199" spans="2:7" x14ac:dyDescent="0.25">
      <c r="B199" s="78"/>
      <c r="C199" s="78"/>
      <c r="D199" s="273" t="s">
        <v>199</v>
      </c>
      <c r="E199" s="100">
        <f>E200+E201+E202+E203+E204+E205</f>
        <v>24000</v>
      </c>
      <c r="F199" s="100">
        <f>F200+F201+F202+F203+F204+F205</f>
        <v>16665.16</v>
      </c>
      <c r="G199" s="100"/>
    </row>
    <row r="200" spans="2:7" x14ac:dyDescent="0.25">
      <c r="B200" s="78"/>
      <c r="C200" s="78"/>
      <c r="D200" s="82" t="s">
        <v>200</v>
      </c>
      <c r="E200" s="131">
        <v>4000</v>
      </c>
      <c r="F200" s="131">
        <v>0</v>
      </c>
      <c r="G200" s="131">
        <v>8000</v>
      </c>
    </row>
    <row r="201" spans="2:7" x14ac:dyDescent="0.25">
      <c r="B201" s="78"/>
      <c r="C201" s="78"/>
      <c r="D201" s="82" t="s">
        <v>201</v>
      </c>
      <c r="E201" s="131">
        <v>4000</v>
      </c>
      <c r="F201" s="131">
        <f>3000</f>
        <v>3000</v>
      </c>
      <c r="G201" s="131">
        <v>15000</v>
      </c>
    </row>
    <row r="202" spans="2:7" x14ac:dyDescent="0.25">
      <c r="B202" s="78"/>
      <c r="C202" s="78"/>
      <c r="D202" s="82" t="s">
        <v>202</v>
      </c>
      <c r="E202" s="131">
        <v>4000</v>
      </c>
      <c r="F202" s="131">
        <v>0</v>
      </c>
      <c r="G202" s="131">
        <v>4000</v>
      </c>
    </row>
    <row r="203" spans="2:7" x14ac:dyDescent="0.25">
      <c r="B203" s="78"/>
      <c r="C203" s="78"/>
      <c r="D203" s="82" t="s">
        <v>203</v>
      </c>
      <c r="E203" s="131">
        <v>4000</v>
      </c>
      <c r="F203" s="131">
        <f>2069+4000+2500</f>
        <v>8569</v>
      </c>
      <c r="G203" s="131">
        <v>5000</v>
      </c>
    </row>
    <row r="204" spans="2:7" x14ac:dyDescent="0.25">
      <c r="B204" s="78"/>
      <c r="C204" s="78"/>
      <c r="D204" s="82" t="s">
        <v>204</v>
      </c>
      <c r="E204" s="131">
        <v>4000</v>
      </c>
      <c r="F204" s="131">
        <f>3096.16</f>
        <v>3096.16</v>
      </c>
      <c r="G204" s="131">
        <v>8000</v>
      </c>
    </row>
    <row r="205" spans="2:7" x14ac:dyDescent="0.25">
      <c r="B205" s="78"/>
      <c r="C205" s="78"/>
      <c r="D205" s="82" t="s">
        <v>205</v>
      </c>
      <c r="E205" s="131">
        <v>4000</v>
      </c>
      <c r="F205" s="131">
        <f>2000</f>
        <v>2000</v>
      </c>
      <c r="G205" s="131">
        <v>18000</v>
      </c>
    </row>
    <row r="206" spans="2:7" x14ac:dyDescent="0.25">
      <c r="B206" s="78"/>
      <c r="C206" s="78"/>
      <c r="D206" s="82"/>
      <c r="E206" s="131"/>
      <c r="F206" s="131"/>
      <c r="G206" s="131"/>
    </row>
    <row r="207" spans="2:7" x14ac:dyDescent="0.25">
      <c r="B207" s="153"/>
      <c r="C207" s="153"/>
      <c r="D207" s="277" t="s">
        <v>198</v>
      </c>
      <c r="E207" s="154">
        <f>E208+E209+E210+E211+E212+E213+E214+E215</f>
        <v>1129000</v>
      </c>
      <c r="F207" s="154">
        <f>F208+F209+F210+F211+F212+F213+F214+F215</f>
        <v>995376.51</v>
      </c>
      <c r="G207" s="154"/>
    </row>
    <row r="208" spans="2:7" x14ac:dyDescent="0.25">
      <c r="B208" s="319"/>
      <c r="C208" s="319"/>
      <c r="D208" s="320" t="s">
        <v>206</v>
      </c>
      <c r="E208" s="323">
        <v>500000</v>
      </c>
      <c r="F208" s="323">
        <f>60000+15000+15000+6000+10000+10000+50000+60000+8000+50000+5000+70000+5000+65000+7000</f>
        <v>436000</v>
      </c>
      <c r="G208" s="323">
        <v>630000</v>
      </c>
    </row>
    <row r="209" spans="1:7" x14ac:dyDescent="0.25">
      <c r="B209" s="153"/>
      <c r="C209" s="153"/>
      <c r="D209" s="278" t="s">
        <v>207</v>
      </c>
      <c r="E209" s="155">
        <v>140000</v>
      </c>
      <c r="F209" s="155">
        <f>4000+1000+10000+8000+2000+13000+2000+12000+11000+11000+2000+10000+10000</f>
        <v>96000</v>
      </c>
      <c r="G209" s="155">
        <v>0</v>
      </c>
    </row>
    <row r="210" spans="1:7" x14ac:dyDescent="0.25">
      <c r="B210" s="153"/>
      <c r="C210" s="153"/>
      <c r="D210" s="278" t="s">
        <v>208</v>
      </c>
      <c r="E210" s="155">
        <v>120000</v>
      </c>
      <c r="F210" s="155">
        <f>12000+25000+10000+10000+38000+40000+10000+20000+12000+10000+15000+15000</f>
        <v>217000</v>
      </c>
      <c r="G210" s="155">
        <v>550000</v>
      </c>
    </row>
    <row r="211" spans="1:7" x14ac:dyDescent="0.25">
      <c r="B211" s="153"/>
      <c r="C211" s="153"/>
      <c r="D211" s="278" t="s">
        <v>209</v>
      </c>
      <c r="E211" s="155">
        <v>140000</v>
      </c>
      <c r="F211" s="155">
        <f>3000+4000+10000+8000+4000+14000+7500+10000+2000+10000+15000+10000+15000</f>
        <v>112500</v>
      </c>
      <c r="G211" s="155">
        <v>0</v>
      </c>
    </row>
    <row r="212" spans="1:7" x14ac:dyDescent="0.25">
      <c r="B212" s="153"/>
      <c r="C212" s="153"/>
      <c r="D212" s="278" t="s">
        <v>210</v>
      </c>
      <c r="E212" s="155">
        <v>110000</v>
      </c>
      <c r="F212" s="155">
        <f>68876.51</f>
        <v>68876.509999999995</v>
      </c>
      <c r="G212" s="155">
        <v>110000</v>
      </c>
    </row>
    <row r="213" spans="1:7" x14ac:dyDescent="0.25">
      <c r="B213" s="153"/>
      <c r="C213" s="153"/>
      <c r="D213" s="278" t="s">
        <v>211</v>
      </c>
      <c r="E213" s="155">
        <v>0</v>
      </c>
      <c r="F213" s="155">
        <v>0</v>
      </c>
      <c r="G213" s="155">
        <v>0</v>
      </c>
    </row>
    <row r="214" spans="1:7" x14ac:dyDescent="0.25">
      <c r="B214" s="153"/>
      <c r="C214" s="153"/>
      <c r="D214" s="153" t="s">
        <v>212</v>
      </c>
      <c r="E214" s="155">
        <v>99000</v>
      </c>
      <c r="F214" s="155">
        <f>65000</f>
        <v>65000</v>
      </c>
      <c r="G214" s="155">
        <v>95000</v>
      </c>
    </row>
    <row r="215" spans="1:7" x14ac:dyDescent="0.25">
      <c r="B215" s="153"/>
      <c r="C215" s="153"/>
      <c r="D215" s="153" t="s">
        <v>358</v>
      </c>
      <c r="E215" s="155">
        <v>20000</v>
      </c>
      <c r="F215" s="155">
        <v>0</v>
      </c>
      <c r="G215" s="155">
        <v>20000</v>
      </c>
    </row>
    <row r="216" spans="1:7" x14ac:dyDescent="0.25">
      <c r="B216" s="371" t="s">
        <v>70</v>
      </c>
      <c r="C216" s="371"/>
      <c r="D216" s="371"/>
      <c r="E216" s="120">
        <f>E154</f>
        <v>1938500</v>
      </c>
      <c r="F216" s="120"/>
      <c r="G216" s="120">
        <f>G163+G161+G157+G155</f>
        <v>2153000</v>
      </c>
    </row>
    <row r="217" spans="1:7" x14ac:dyDescent="0.25">
      <c r="A217" s="83"/>
      <c r="B217" s="37"/>
      <c r="C217" s="37"/>
      <c r="D217" s="37"/>
      <c r="E217" s="101"/>
      <c r="F217" s="101"/>
      <c r="G217" s="101"/>
    </row>
    <row r="218" spans="1:7" x14ac:dyDescent="0.25">
      <c r="B218" s="37"/>
      <c r="C218" s="37"/>
      <c r="D218" s="37"/>
      <c r="E218" s="101"/>
      <c r="F218" s="101"/>
      <c r="G218" s="101"/>
    </row>
    <row r="219" spans="1:7" x14ac:dyDescent="0.25">
      <c r="B219" s="37"/>
      <c r="C219" s="37"/>
      <c r="D219" s="266" t="s">
        <v>153</v>
      </c>
      <c r="E219" s="101"/>
      <c r="F219" s="101"/>
      <c r="G219" s="101"/>
    </row>
    <row r="220" spans="1:7" ht="36" customHeight="1" x14ac:dyDescent="0.25">
      <c r="B220" s="37"/>
      <c r="C220" s="37"/>
      <c r="D220" s="245" t="s">
        <v>154</v>
      </c>
      <c r="E220" s="101"/>
      <c r="F220" s="101"/>
      <c r="G220" s="101"/>
    </row>
    <row r="221" spans="1:7" x14ac:dyDescent="0.25">
      <c r="B221" s="61">
        <v>410000</v>
      </c>
      <c r="C221" s="38"/>
      <c r="D221" s="279" t="s">
        <v>50</v>
      </c>
      <c r="E221" s="132"/>
      <c r="F221" s="132"/>
      <c r="G221" s="132"/>
    </row>
    <row r="222" spans="1:7" x14ac:dyDescent="0.25">
      <c r="B222" s="84">
        <v>412000</v>
      </c>
      <c r="C222" s="51"/>
      <c r="D222" s="280" t="s">
        <v>108</v>
      </c>
      <c r="E222" s="115">
        <f>E223+E224+E225+E226</f>
        <v>184000</v>
      </c>
      <c r="F222" s="115">
        <f>F223+F224+F225+F226</f>
        <v>100423.67</v>
      </c>
      <c r="G222" s="115">
        <f>G223+G224+G225+G226</f>
        <v>229000</v>
      </c>
    </row>
    <row r="223" spans="1:7" x14ac:dyDescent="0.25">
      <c r="B223" s="85">
        <v>412700</v>
      </c>
      <c r="C223" s="37"/>
      <c r="D223" s="281" t="s">
        <v>155</v>
      </c>
      <c r="E223" s="101">
        <v>100000</v>
      </c>
      <c r="F223" s="101">
        <f>74717.67</f>
        <v>74717.67</v>
      </c>
      <c r="G223" s="101">
        <v>115000</v>
      </c>
    </row>
    <row r="224" spans="1:7" x14ac:dyDescent="0.25">
      <c r="B224" s="86"/>
      <c r="C224" s="37"/>
      <c r="D224" s="281" t="s">
        <v>156</v>
      </c>
      <c r="E224" s="101">
        <v>30000</v>
      </c>
      <c r="F224" s="101">
        <f>3159</f>
        <v>3159</v>
      </c>
      <c r="G224" s="101">
        <v>49000</v>
      </c>
    </row>
    <row r="225" spans="1:7" ht="30" x14ac:dyDescent="0.25">
      <c r="B225" s="86"/>
      <c r="C225" s="37"/>
      <c r="D225" s="259" t="s">
        <v>214</v>
      </c>
      <c r="E225" s="101">
        <v>45000</v>
      </c>
      <c r="F225" s="101">
        <f>22547</f>
        <v>22547</v>
      </c>
      <c r="G225" s="101">
        <v>59000</v>
      </c>
    </row>
    <row r="226" spans="1:7" x14ac:dyDescent="0.25">
      <c r="B226" s="86"/>
      <c r="C226" s="37"/>
      <c r="D226" s="281" t="s">
        <v>59</v>
      </c>
      <c r="E226" s="101">
        <v>9000</v>
      </c>
      <c r="F226" s="101">
        <v>0</v>
      </c>
      <c r="G226" s="101">
        <v>6000</v>
      </c>
    </row>
    <row r="227" spans="1:7" x14ac:dyDescent="0.25">
      <c r="B227" s="61">
        <v>510000</v>
      </c>
      <c r="C227" s="38"/>
      <c r="D227" s="282" t="s">
        <v>67</v>
      </c>
      <c r="E227" s="110">
        <f>E228+E229</f>
        <v>612000</v>
      </c>
      <c r="F227" s="110">
        <f>F228+F229</f>
        <v>157215.45000000001</v>
      </c>
      <c r="G227" s="110">
        <f>G228</f>
        <v>298000</v>
      </c>
    </row>
    <row r="228" spans="1:7" x14ac:dyDescent="0.25">
      <c r="B228" s="37"/>
      <c r="C228" s="37"/>
      <c r="D228" s="259" t="s">
        <v>157</v>
      </c>
      <c r="E228" s="101">
        <f>245000+50000+20000+22000+25000</f>
        <v>362000</v>
      </c>
      <c r="F228" s="101">
        <f>157215.45</f>
        <v>157215.45000000001</v>
      </c>
      <c r="G228" s="101">
        <v>298000</v>
      </c>
    </row>
    <row r="229" spans="1:7" x14ac:dyDescent="0.25">
      <c r="B229" s="37"/>
      <c r="C229" s="37"/>
      <c r="D229" s="259" t="s">
        <v>340</v>
      </c>
      <c r="E229" s="101">
        <v>250000</v>
      </c>
      <c r="F229" s="101">
        <v>0</v>
      </c>
      <c r="G229" s="101">
        <v>0</v>
      </c>
    </row>
    <row r="230" spans="1:7" x14ac:dyDescent="0.25">
      <c r="B230" s="371" t="s">
        <v>70</v>
      </c>
      <c r="C230" s="371"/>
      <c r="D230" s="371"/>
      <c r="E230" s="133">
        <f>E227+E222</f>
        <v>796000</v>
      </c>
      <c r="F230" s="133">
        <f>F227+F222</f>
        <v>257639.12</v>
      </c>
      <c r="G230" s="133">
        <f>G227+G222</f>
        <v>527000</v>
      </c>
    </row>
    <row r="231" spans="1:7" ht="14.25" customHeight="1" x14ac:dyDescent="0.25">
      <c r="B231" s="37"/>
      <c r="C231" s="37"/>
      <c r="D231" s="37"/>
      <c r="E231" s="101"/>
      <c r="F231" s="101"/>
      <c r="G231" s="101"/>
    </row>
    <row r="232" spans="1:7" x14ac:dyDescent="0.25">
      <c r="B232" s="37"/>
      <c r="C232" s="37"/>
      <c r="D232" s="37"/>
      <c r="E232" s="101"/>
      <c r="F232" s="101"/>
      <c r="G232" s="101"/>
    </row>
    <row r="233" spans="1:7" ht="30" x14ac:dyDescent="0.25">
      <c r="B233" s="37"/>
      <c r="C233" s="37"/>
      <c r="D233" s="283" t="s">
        <v>158</v>
      </c>
      <c r="E233" s="101"/>
      <c r="F233" s="101"/>
      <c r="G233" s="101"/>
    </row>
    <row r="234" spans="1:7" ht="43.5" customHeight="1" x14ac:dyDescent="0.25">
      <c r="B234" s="37"/>
      <c r="C234" s="37"/>
      <c r="D234" s="284" t="s">
        <v>159</v>
      </c>
      <c r="E234" s="101"/>
      <c r="F234" s="101"/>
      <c r="G234" s="101"/>
    </row>
    <row r="235" spans="1:7" x14ac:dyDescent="0.25">
      <c r="B235" s="87">
        <v>410000</v>
      </c>
      <c r="C235" s="88"/>
      <c r="D235" s="285" t="s">
        <v>50</v>
      </c>
      <c r="E235" s="147">
        <f>E236+E238+E244+E247+E258</f>
        <v>501500</v>
      </c>
      <c r="F235" s="147"/>
      <c r="G235" s="147"/>
    </row>
    <row r="236" spans="1:7" ht="19.5" customHeight="1" x14ac:dyDescent="0.25">
      <c r="B236" s="139">
        <v>412200</v>
      </c>
      <c r="C236" s="140"/>
      <c r="D236" s="286" t="s">
        <v>226</v>
      </c>
      <c r="E236" s="145">
        <f>E237</f>
        <v>14000</v>
      </c>
      <c r="F236" s="145">
        <f>F237</f>
        <v>12891.88</v>
      </c>
      <c r="G236" s="145">
        <f>G237</f>
        <v>10000</v>
      </c>
    </row>
    <row r="237" spans="1:7" s="107" customFormat="1" x14ac:dyDescent="0.25">
      <c r="A237" s="106"/>
      <c r="B237" s="142"/>
      <c r="C237" s="104"/>
      <c r="D237" s="287" t="s">
        <v>227</v>
      </c>
      <c r="E237" s="138">
        <v>14000</v>
      </c>
      <c r="F237" s="138">
        <v>12891.88</v>
      </c>
      <c r="G237" s="138">
        <v>10000</v>
      </c>
    </row>
    <row r="238" spans="1:7" s="143" customFormat="1" x14ac:dyDescent="0.25">
      <c r="A238" s="141"/>
      <c r="B238" s="89">
        <v>412500</v>
      </c>
      <c r="C238" s="90"/>
      <c r="D238" s="288" t="s">
        <v>160</v>
      </c>
      <c r="E238" s="146">
        <f>SUM(E239:E243)</f>
        <v>175000</v>
      </c>
      <c r="F238" s="146">
        <f>F239+F240+F241+F242+F243</f>
        <v>121235.8</v>
      </c>
      <c r="G238" s="146">
        <f>G239+G240+G241+G242+G243</f>
        <v>279000</v>
      </c>
    </row>
    <row r="239" spans="1:7" ht="19.5" customHeight="1" x14ac:dyDescent="0.25">
      <c r="B239" s="91"/>
      <c r="C239" s="44"/>
      <c r="D239" s="259" t="s">
        <v>215</v>
      </c>
      <c r="E239" s="134">
        <v>5000</v>
      </c>
      <c r="F239" s="134">
        <v>450</v>
      </c>
      <c r="G239" s="134">
        <v>1000</v>
      </c>
    </row>
    <row r="240" spans="1:7" x14ac:dyDescent="0.25">
      <c r="B240" s="92"/>
      <c r="C240" s="40"/>
      <c r="D240" s="259" t="s">
        <v>161</v>
      </c>
      <c r="E240" s="134">
        <v>40000</v>
      </c>
      <c r="F240" s="134">
        <v>0</v>
      </c>
      <c r="G240" s="134">
        <v>20000</v>
      </c>
    </row>
    <row r="241" spans="2:7" ht="30" x14ac:dyDescent="0.25">
      <c r="B241" s="92"/>
      <c r="C241" s="40"/>
      <c r="D241" s="259" t="s">
        <v>216</v>
      </c>
      <c r="E241" s="134">
        <v>25000</v>
      </c>
      <c r="F241" s="134">
        <v>0</v>
      </c>
      <c r="G241" s="134">
        <v>15000</v>
      </c>
    </row>
    <row r="242" spans="2:7" ht="30" x14ac:dyDescent="0.25">
      <c r="B242" s="92"/>
      <c r="C242" s="40"/>
      <c r="D242" s="289" t="s">
        <v>223</v>
      </c>
      <c r="E242" s="134">
        <v>100000</v>
      </c>
      <c r="F242" s="134">
        <v>99318.07</v>
      </c>
      <c r="G242" s="134">
        <v>205000</v>
      </c>
    </row>
    <row r="243" spans="2:7" x14ac:dyDescent="0.25">
      <c r="B243" s="92"/>
      <c r="C243" s="40"/>
      <c r="D243" s="289" t="s">
        <v>219</v>
      </c>
      <c r="E243" s="134">
        <v>5000</v>
      </c>
      <c r="F243" s="134">
        <v>21467.73</v>
      </c>
      <c r="G243" s="134">
        <v>38000</v>
      </c>
    </row>
    <row r="244" spans="2:7" x14ac:dyDescent="0.25">
      <c r="B244" s="93">
        <v>412700</v>
      </c>
      <c r="C244" s="94"/>
      <c r="D244" s="290" t="s">
        <v>82</v>
      </c>
      <c r="E244" s="135">
        <f>E245+E246</f>
        <v>40000</v>
      </c>
      <c r="F244" s="135">
        <f>F245</f>
        <v>0</v>
      </c>
      <c r="G244" s="135">
        <f>G245+G246</f>
        <v>29000</v>
      </c>
    </row>
    <row r="245" spans="2:7" x14ac:dyDescent="0.25">
      <c r="B245" s="103"/>
      <c r="C245" s="104"/>
      <c r="D245" s="291" t="s">
        <v>162</v>
      </c>
      <c r="E245" s="105">
        <v>5000</v>
      </c>
      <c r="F245" s="105">
        <v>0</v>
      </c>
      <c r="G245" s="105">
        <v>4000</v>
      </c>
    </row>
    <row r="246" spans="2:7" x14ac:dyDescent="0.25">
      <c r="B246" s="103"/>
      <c r="C246" s="104"/>
      <c r="D246" s="291" t="s">
        <v>225</v>
      </c>
      <c r="E246" s="105">
        <v>35000</v>
      </c>
      <c r="F246" s="105">
        <v>0</v>
      </c>
      <c r="G246" s="105">
        <v>25000</v>
      </c>
    </row>
    <row r="247" spans="2:7" x14ac:dyDescent="0.25">
      <c r="B247" s="93">
        <v>412800</v>
      </c>
      <c r="C247" s="94"/>
      <c r="D247" s="290" t="s">
        <v>163</v>
      </c>
      <c r="E247" s="135">
        <f>SUM(E248:E257)</f>
        <v>268500</v>
      </c>
      <c r="F247" s="135">
        <f>F248+F252+F253+F254+F255+F255</f>
        <v>243519.77999999997</v>
      </c>
      <c r="G247" s="135">
        <f>G248+G252+G253+G254+G255</f>
        <v>284000</v>
      </c>
    </row>
    <row r="248" spans="2:7" ht="30" x14ac:dyDescent="0.25">
      <c r="B248" s="317"/>
      <c r="C248" s="318"/>
      <c r="D248" s="321" t="s">
        <v>217</v>
      </c>
      <c r="E248" s="322">
        <v>80000</v>
      </c>
      <c r="F248" s="368">
        <v>119396.64</v>
      </c>
      <c r="G248" s="368">
        <v>129000</v>
      </c>
    </row>
    <row r="249" spans="2:7" ht="30" x14ac:dyDescent="0.25">
      <c r="B249" s="91"/>
      <c r="C249" s="44"/>
      <c r="D249" s="292" t="s">
        <v>222</v>
      </c>
      <c r="E249" s="136">
        <v>15000</v>
      </c>
      <c r="F249" s="369"/>
      <c r="G249" s="369"/>
    </row>
    <row r="250" spans="2:7" ht="30" x14ac:dyDescent="0.25">
      <c r="B250" s="92"/>
      <c r="C250" s="40"/>
      <c r="D250" s="259" t="s">
        <v>164</v>
      </c>
      <c r="E250" s="134">
        <v>10000</v>
      </c>
      <c r="F250" s="369"/>
      <c r="G250" s="369"/>
    </row>
    <row r="251" spans="2:7" x14ac:dyDescent="0.25">
      <c r="B251" s="92"/>
      <c r="C251" s="40"/>
      <c r="D251" s="259" t="s">
        <v>166</v>
      </c>
      <c r="E251" s="134">
        <v>13000</v>
      </c>
      <c r="F251" s="370"/>
      <c r="G251" s="370"/>
    </row>
    <row r="252" spans="2:7" x14ac:dyDescent="0.25">
      <c r="B252" s="92"/>
      <c r="C252" s="40"/>
      <c r="D252" s="259" t="s">
        <v>165</v>
      </c>
      <c r="E252" s="134">
        <v>75000</v>
      </c>
      <c r="F252" s="134">
        <v>66959.990000000005</v>
      </c>
      <c r="G252" s="330">
        <v>85000</v>
      </c>
    </row>
    <row r="253" spans="2:7" x14ac:dyDescent="0.25">
      <c r="B253" s="92"/>
      <c r="C253" s="40"/>
      <c r="D253" s="259" t="s">
        <v>167</v>
      </c>
      <c r="E253" s="134">
        <v>48000</v>
      </c>
      <c r="F253" s="134">
        <v>35188.43</v>
      </c>
      <c r="G253" s="330">
        <v>50000</v>
      </c>
    </row>
    <row r="254" spans="2:7" ht="30" x14ac:dyDescent="0.25">
      <c r="B254" s="92"/>
      <c r="C254" s="40"/>
      <c r="D254" s="259" t="s">
        <v>169</v>
      </c>
      <c r="E254" s="134">
        <v>7000</v>
      </c>
      <c r="F254" s="134">
        <v>5323.5</v>
      </c>
      <c r="G254" s="330">
        <v>6000</v>
      </c>
    </row>
    <row r="255" spans="2:7" ht="30" x14ac:dyDescent="0.25">
      <c r="B255" s="92"/>
      <c r="C255" s="40"/>
      <c r="D255" s="259" t="s">
        <v>168</v>
      </c>
      <c r="E255" s="134">
        <v>15000</v>
      </c>
      <c r="F255" s="365">
        <v>8325.61</v>
      </c>
      <c r="G255" s="365">
        <v>14000</v>
      </c>
    </row>
    <row r="256" spans="2:7" x14ac:dyDescent="0.25">
      <c r="B256" s="92"/>
      <c r="C256" s="40"/>
      <c r="D256" s="259" t="s">
        <v>170</v>
      </c>
      <c r="E256" s="134">
        <v>3500</v>
      </c>
      <c r="F256" s="366"/>
      <c r="G256" s="366"/>
    </row>
    <row r="257" spans="2:7" x14ac:dyDescent="0.25">
      <c r="B257" s="92"/>
      <c r="C257" s="40"/>
      <c r="D257" s="259" t="s">
        <v>171</v>
      </c>
      <c r="E257" s="134">
        <v>2000</v>
      </c>
      <c r="F257" s="367"/>
      <c r="G257" s="367"/>
    </row>
    <row r="258" spans="2:7" x14ac:dyDescent="0.25">
      <c r="B258" s="242">
        <v>415200</v>
      </c>
      <c r="C258" s="95"/>
      <c r="D258" s="293" t="s">
        <v>220</v>
      </c>
      <c r="E258" s="137">
        <f>E259+E260</f>
        <v>4000</v>
      </c>
      <c r="F258" s="137">
        <f>F259+F260</f>
        <v>0</v>
      </c>
      <c r="G258" s="137">
        <f>G259+G260</f>
        <v>2000</v>
      </c>
    </row>
    <row r="259" spans="2:7" x14ac:dyDescent="0.25">
      <c r="B259" s="102"/>
      <c r="C259" s="82"/>
      <c r="D259" s="294" t="s">
        <v>172</v>
      </c>
      <c r="E259" s="138">
        <v>4000</v>
      </c>
      <c r="F259" s="138">
        <v>0</v>
      </c>
      <c r="G259" s="138">
        <v>2000</v>
      </c>
    </row>
    <row r="260" spans="2:7" ht="30" x14ac:dyDescent="0.25">
      <c r="B260" s="102"/>
      <c r="C260" s="82"/>
      <c r="D260" s="294" t="s">
        <v>221</v>
      </c>
      <c r="E260" s="138">
        <v>0</v>
      </c>
      <c r="F260" s="138">
        <v>0</v>
      </c>
      <c r="G260" s="138">
        <v>0</v>
      </c>
    </row>
    <row r="261" spans="2:7" x14ac:dyDescent="0.25">
      <c r="B261" s="88">
        <v>510000</v>
      </c>
      <c r="C261" s="88"/>
      <c r="D261" s="282" t="s">
        <v>106</v>
      </c>
      <c r="E261" s="147">
        <f>SUM(E262:E272)</f>
        <v>3450000</v>
      </c>
      <c r="F261" s="147"/>
      <c r="G261" s="147">
        <f>G262+G263+G264+G265+G266+G267+G268+G269+G270+G271+G272+G274+G273+G275</f>
        <v>2818000</v>
      </c>
    </row>
    <row r="262" spans="2:7" ht="30" x14ac:dyDescent="0.25">
      <c r="B262" s="37"/>
      <c r="C262" s="37"/>
      <c r="D262" s="40" t="s">
        <v>388</v>
      </c>
      <c r="E262" s="101">
        <v>500000</v>
      </c>
      <c r="F262" s="101">
        <f>577267.57+109863</f>
        <v>687130.57</v>
      </c>
      <c r="G262" s="101">
        <v>383000</v>
      </c>
    </row>
    <row r="263" spans="2:7" x14ac:dyDescent="0.25">
      <c r="B263" s="37"/>
      <c r="C263" s="37"/>
      <c r="D263" s="37" t="s">
        <v>218</v>
      </c>
      <c r="E263" s="101">
        <v>1600000</v>
      </c>
      <c r="F263" s="101">
        <v>147438</v>
      </c>
      <c r="G263" s="101">
        <v>1200000</v>
      </c>
    </row>
    <row r="264" spans="2:7" x14ac:dyDescent="0.25">
      <c r="B264" s="37"/>
      <c r="C264" s="37"/>
      <c r="D264" s="37" t="s">
        <v>344</v>
      </c>
      <c r="E264" s="101">
        <v>0</v>
      </c>
      <c r="F264" s="101">
        <v>0</v>
      </c>
      <c r="G264" s="101">
        <v>0</v>
      </c>
    </row>
    <row r="265" spans="2:7" x14ac:dyDescent="0.25">
      <c r="B265" s="37"/>
      <c r="C265" s="37"/>
      <c r="D265" s="37" t="s">
        <v>173</v>
      </c>
      <c r="E265" s="101">
        <v>50000</v>
      </c>
      <c r="F265" s="101">
        <v>0</v>
      </c>
      <c r="G265" s="101">
        <v>50000</v>
      </c>
    </row>
    <row r="266" spans="2:7" x14ac:dyDescent="0.25">
      <c r="B266" s="37"/>
      <c r="C266" s="37"/>
      <c r="D266" s="37" t="s">
        <v>234</v>
      </c>
      <c r="E266" s="101">
        <v>50000</v>
      </c>
      <c r="F266" s="101">
        <v>22844.03</v>
      </c>
      <c r="G266" s="101">
        <v>80000</v>
      </c>
    </row>
    <row r="267" spans="2:7" x14ac:dyDescent="0.25">
      <c r="B267" s="37"/>
      <c r="C267" s="37"/>
      <c r="D267" s="40" t="s">
        <v>341</v>
      </c>
      <c r="E267" s="101">
        <v>460000</v>
      </c>
      <c r="F267" s="101">
        <v>565490</v>
      </c>
      <c r="G267" s="101">
        <v>0</v>
      </c>
    </row>
    <row r="268" spans="2:7" x14ac:dyDescent="0.25">
      <c r="B268" s="37"/>
      <c r="C268" s="37"/>
      <c r="D268" s="40" t="s">
        <v>322</v>
      </c>
      <c r="E268" s="101">
        <v>15000</v>
      </c>
      <c r="F268" s="101">
        <v>0</v>
      </c>
      <c r="G268" s="101">
        <v>20000</v>
      </c>
    </row>
    <row r="269" spans="2:7" ht="30" x14ac:dyDescent="0.25">
      <c r="B269" s="37"/>
      <c r="C269" s="37"/>
      <c r="D269" s="40" t="s">
        <v>385</v>
      </c>
      <c r="E269" s="101">
        <v>750000</v>
      </c>
      <c r="F269" s="101">
        <v>594520.29</v>
      </c>
      <c r="G269" s="101">
        <v>550000</v>
      </c>
    </row>
    <row r="270" spans="2:7" ht="30" x14ac:dyDescent="0.25">
      <c r="B270" s="37"/>
      <c r="C270" s="37"/>
      <c r="D270" s="40" t="s">
        <v>237</v>
      </c>
      <c r="E270" s="101">
        <v>0</v>
      </c>
      <c r="F270" s="101">
        <v>0</v>
      </c>
      <c r="G270" s="101">
        <v>0</v>
      </c>
    </row>
    <row r="271" spans="2:7" x14ac:dyDescent="0.25">
      <c r="B271" s="40"/>
      <c r="C271" s="40"/>
      <c r="D271" s="259" t="s">
        <v>224</v>
      </c>
      <c r="E271" s="101">
        <v>20000</v>
      </c>
      <c r="F271" s="101">
        <v>0</v>
      </c>
      <c r="G271" s="101">
        <v>30000</v>
      </c>
    </row>
    <row r="272" spans="2:7" x14ac:dyDescent="0.25">
      <c r="B272" s="40"/>
      <c r="C272" s="40"/>
      <c r="D272" s="292" t="s">
        <v>174</v>
      </c>
      <c r="E272" s="101">
        <v>5000</v>
      </c>
      <c r="F272" s="101">
        <v>0</v>
      </c>
      <c r="G272" s="101">
        <v>5000</v>
      </c>
    </row>
    <row r="273" spans="1:7" x14ac:dyDescent="0.25">
      <c r="B273" s="40"/>
      <c r="C273" s="40"/>
      <c r="D273" s="292" t="s">
        <v>387</v>
      </c>
      <c r="E273" s="101">
        <v>0</v>
      </c>
      <c r="F273" s="101">
        <v>0</v>
      </c>
      <c r="G273" s="101">
        <v>450000</v>
      </c>
    </row>
    <row r="274" spans="1:7" ht="30" x14ac:dyDescent="0.25">
      <c r="B274" s="40"/>
      <c r="C274" s="40"/>
      <c r="D274" s="292" t="s">
        <v>221</v>
      </c>
      <c r="E274" s="101">
        <v>0</v>
      </c>
      <c r="F274" s="101">
        <v>0</v>
      </c>
      <c r="G274" s="101">
        <v>0</v>
      </c>
    </row>
    <row r="275" spans="1:7" x14ac:dyDescent="0.25">
      <c r="B275" s="40"/>
      <c r="C275" s="40"/>
      <c r="D275" s="292" t="s">
        <v>361</v>
      </c>
      <c r="E275" s="101">
        <v>0</v>
      </c>
      <c r="F275" s="101">
        <v>0</v>
      </c>
      <c r="G275" s="101">
        <v>50000</v>
      </c>
    </row>
    <row r="276" spans="1:7" ht="15.75" x14ac:dyDescent="0.25">
      <c r="B276" s="371" t="s">
        <v>70</v>
      </c>
      <c r="C276" s="371"/>
      <c r="D276" s="371"/>
      <c r="E276" s="295">
        <f>E261+E235</f>
        <v>3951500</v>
      </c>
      <c r="F276" s="295"/>
      <c r="G276" s="295">
        <f>G261+G258+G247+G244+G238+G236</f>
        <v>3422000</v>
      </c>
    </row>
    <row r="277" spans="1:7" s="60" customFormat="1" ht="15.75" x14ac:dyDescent="0.25">
      <c r="A277" s="59"/>
      <c r="B277" s="331"/>
      <c r="C277" s="331"/>
      <c r="D277" s="331"/>
      <c r="E277" s="332"/>
      <c r="F277" s="332"/>
      <c r="G277" s="332"/>
    </row>
    <row r="278" spans="1:7" s="60" customFormat="1" x14ac:dyDescent="0.25">
      <c r="A278" s="59"/>
      <c r="B278" s="37"/>
      <c r="C278" s="37"/>
      <c r="D278" s="266" t="s">
        <v>367</v>
      </c>
      <c r="E278" s="101"/>
      <c r="F278" s="101"/>
      <c r="G278" s="101"/>
    </row>
    <row r="279" spans="1:7" s="60" customFormat="1" x14ac:dyDescent="0.25">
      <c r="A279" s="59"/>
      <c r="B279" s="37"/>
      <c r="C279" s="37"/>
      <c r="D279" s="245" t="s">
        <v>366</v>
      </c>
      <c r="E279" s="101"/>
      <c r="F279" s="101"/>
      <c r="G279" s="101"/>
    </row>
    <row r="280" spans="1:7" s="60" customFormat="1" x14ac:dyDescent="0.25">
      <c r="A280" s="59"/>
      <c r="B280" s="84">
        <v>411000</v>
      </c>
      <c r="C280" s="51"/>
      <c r="D280" s="280" t="s">
        <v>244</v>
      </c>
      <c r="E280" s="115"/>
      <c r="F280" s="115"/>
      <c r="G280" s="115">
        <f>G281+G282+G283+G284</f>
        <v>145000</v>
      </c>
    </row>
    <row r="281" spans="1:7" s="60" customFormat="1" x14ac:dyDescent="0.25">
      <c r="A281" s="59"/>
      <c r="B281" s="85"/>
      <c r="C281" s="37">
        <v>411100</v>
      </c>
      <c r="D281" s="281" t="s">
        <v>368</v>
      </c>
      <c r="E281" s="101">
        <v>0</v>
      </c>
      <c r="F281" s="101">
        <v>0</v>
      </c>
      <c r="G281" s="101">
        <v>131600</v>
      </c>
    </row>
    <row r="282" spans="1:7" s="60" customFormat="1" x14ac:dyDescent="0.25">
      <c r="A282" s="59"/>
      <c r="B282" s="86"/>
      <c r="C282" s="37">
        <v>411200</v>
      </c>
      <c r="D282" s="281" t="s">
        <v>369</v>
      </c>
      <c r="E282" s="101">
        <v>0</v>
      </c>
      <c r="F282" s="101">
        <v>0</v>
      </c>
      <c r="G282" s="101">
        <v>10400</v>
      </c>
    </row>
    <row r="283" spans="1:7" s="60" customFormat="1" ht="30" x14ac:dyDescent="0.25">
      <c r="A283" s="59"/>
      <c r="B283" s="86"/>
      <c r="C283" s="37">
        <v>411300</v>
      </c>
      <c r="D283" s="40" t="s">
        <v>354</v>
      </c>
      <c r="E283" s="101">
        <v>0</v>
      </c>
      <c r="F283" s="101">
        <v>0</v>
      </c>
      <c r="G283" s="101">
        <v>1000</v>
      </c>
    </row>
    <row r="284" spans="1:7" s="60" customFormat="1" ht="30" x14ac:dyDescent="0.25">
      <c r="A284" s="59"/>
      <c r="B284" s="86"/>
      <c r="C284" s="37">
        <v>411400</v>
      </c>
      <c r="D284" s="40" t="s">
        <v>355</v>
      </c>
      <c r="E284" s="101">
        <v>0</v>
      </c>
      <c r="F284" s="101">
        <v>0</v>
      </c>
      <c r="G284" s="101">
        <v>2000</v>
      </c>
    </row>
    <row r="285" spans="1:7" s="60" customFormat="1" x14ac:dyDescent="0.25">
      <c r="A285" s="59"/>
      <c r="B285" s="61">
        <v>412000</v>
      </c>
      <c r="C285" s="38"/>
      <c r="D285" s="282" t="s">
        <v>108</v>
      </c>
      <c r="E285" s="110"/>
      <c r="F285" s="110"/>
      <c r="G285" s="110">
        <f>G286+G287+G288+G289+G290</f>
        <v>8000</v>
      </c>
    </row>
    <row r="286" spans="1:7" s="60" customFormat="1" ht="45" x14ac:dyDescent="0.25">
      <c r="A286" s="59"/>
      <c r="B286" s="37"/>
      <c r="C286" s="37">
        <v>412200</v>
      </c>
      <c r="D286" s="259" t="s">
        <v>370</v>
      </c>
      <c r="E286" s="101">
        <v>0</v>
      </c>
      <c r="F286" s="101">
        <v>0</v>
      </c>
      <c r="G286" s="101">
        <v>0</v>
      </c>
    </row>
    <row r="287" spans="1:7" s="60" customFormat="1" ht="30" x14ac:dyDescent="0.25">
      <c r="A287" s="59"/>
      <c r="B287" s="37"/>
      <c r="C287" s="37">
        <v>412300</v>
      </c>
      <c r="D287" s="259" t="s">
        <v>371</v>
      </c>
      <c r="E287" s="101">
        <v>0</v>
      </c>
      <c r="F287" s="101">
        <v>0</v>
      </c>
      <c r="G287" s="101">
        <v>1000</v>
      </c>
    </row>
    <row r="288" spans="1:7" s="60" customFormat="1" ht="30" x14ac:dyDescent="0.25">
      <c r="A288" s="59"/>
      <c r="B288" s="37"/>
      <c r="C288" s="37">
        <v>412600</v>
      </c>
      <c r="D288" s="259" t="s">
        <v>372</v>
      </c>
      <c r="E288" s="101">
        <v>0</v>
      </c>
      <c r="F288" s="101">
        <v>0</v>
      </c>
      <c r="G288" s="101">
        <v>1000</v>
      </c>
    </row>
    <row r="289" spans="1:7" s="60" customFormat="1" ht="30" x14ac:dyDescent="0.25">
      <c r="A289" s="59"/>
      <c r="B289" s="37"/>
      <c r="C289" s="37">
        <v>412700</v>
      </c>
      <c r="D289" s="259" t="s">
        <v>373</v>
      </c>
      <c r="E289" s="101">
        <v>0</v>
      </c>
      <c r="F289" s="101">
        <v>0</v>
      </c>
      <c r="G289" s="101">
        <v>1000</v>
      </c>
    </row>
    <row r="290" spans="1:7" s="60" customFormat="1" ht="30" x14ac:dyDescent="0.25">
      <c r="A290" s="59"/>
      <c r="B290" s="37"/>
      <c r="C290" s="37">
        <v>412900</v>
      </c>
      <c r="D290" s="259" t="s">
        <v>374</v>
      </c>
      <c r="E290" s="101">
        <v>0</v>
      </c>
      <c r="F290" s="101">
        <v>0</v>
      </c>
      <c r="G290" s="101">
        <v>5000</v>
      </c>
    </row>
    <row r="291" spans="1:7" s="60" customFormat="1" x14ac:dyDescent="0.25">
      <c r="A291" s="59"/>
      <c r="B291" s="348">
        <v>416000</v>
      </c>
      <c r="C291" s="324"/>
      <c r="D291" s="349" t="s">
        <v>386</v>
      </c>
      <c r="E291" s="325"/>
      <c r="F291" s="325"/>
      <c r="G291" s="325"/>
    </row>
    <row r="292" spans="1:7" s="351" customFormat="1" ht="60" x14ac:dyDescent="0.25">
      <c r="B292" s="352"/>
      <c r="C292" s="352"/>
      <c r="D292" s="350" t="s">
        <v>98</v>
      </c>
      <c r="E292" s="353">
        <v>360000</v>
      </c>
      <c r="F292" s="353">
        <v>315332</v>
      </c>
      <c r="G292" s="353">
        <v>473000</v>
      </c>
    </row>
    <row r="293" spans="1:7" s="60" customFormat="1" ht="15" customHeight="1" x14ac:dyDescent="0.25">
      <c r="A293" s="59"/>
      <c r="B293" s="371"/>
      <c r="C293" s="371"/>
      <c r="D293" s="371"/>
      <c r="E293" s="133"/>
      <c r="F293" s="133"/>
      <c r="G293" s="133">
        <f>G285+G280+G292</f>
        <v>626000</v>
      </c>
    </row>
    <row r="294" spans="1:7" s="60" customFormat="1" ht="15.75" x14ac:dyDescent="0.25">
      <c r="A294" s="59"/>
      <c r="B294" s="331"/>
      <c r="C294" s="331"/>
      <c r="D294" s="331"/>
      <c r="E294" s="332"/>
      <c r="F294" s="332"/>
      <c r="G294" s="332"/>
    </row>
    <row r="295" spans="1:7" s="60" customFormat="1" x14ac:dyDescent="0.25">
      <c r="A295" s="59"/>
      <c r="B295" s="37"/>
      <c r="C295" s="37"/>
      <c r="D295" s="266" t="s">
        <v>375</v>
      </c>
      <c r="E295" s="101"/>
      <c r="F295" s="101"/>
      <c r="G295" s="101"/>
    </row>
    <row r="296" spans="1:7" s="60" customFormat="1" x14ac:dyDescent="0.25">
      <c r="A296" s="59"/>
      <c r="B296" s="37"/>
      <c r="C296" s="37"/>
      <c r="D296" s="245" t="s">
        <v>366</v>
      </c>
      <c r="E296" s="101"/>
      <c r="F296" s="101"/>
      <c r="G296" s="101"/>
    </row>
    <row r="297" spans="1:7" s="60" customFormat="1" x14ac:dyDescent="0.25">
      <c r="A297" s="59"/>
      <c r="B297" s="84">
        <v>411000</v>
      </c>
      <c r="C297" s="51"/>
      <c r="D297" s="280" t="s">
        <v>244</v>
      </c>
      <c r="E297" s="115"/>
      <c r="F297" s="115"/>
      <c r="G297" s="115">
        <f>G298+G299+G300+G301</f>
        <v>110620</v>
      </c>
    </row>
    <row r="298" spans="1:7" s="60" customFormat="1" x14ac:dyDescent="0.25">
      <c r="A298" s="59"/>
      <c r="B298" s="85"/>
      <c r="C298" s="37">
        <v>411100</v>
      </c>
      <c r="D298" s="281" t="s">
        <v>368</v>
      </c>
      <c r="E298" s="101">
        <v>0</v>
      </c>
      <c r="F298" s="101">
        <v>0</v>
      </c>
      <c r="G298" s="101">
        <v>93000</v>
      </c>
    </row>
    <row r="299" spans="1:7" s="60" customFormat="1" x14ac:dyDescent="0.25">
      <c r="A299" s="59"/>
      <c r="B299" s="86"/>
      <c r="C299" s="37">
        <v>411200</v>
      </c>
      <c r="D299" s="281" t="s">
        <v>369</v>
      </c>
      <c r="E299" s="101">
        <v>0</v>
      </c>
      <c r="F299" s="101">
        <v>0</v>
      </c>
      <c r="G299" s="101">
        <v>15920</v>
      </c>
    </row>
    <row r="300" spans="1:7" s="60" customFormat="1" ht="30" x14ac:dyDescent="0.25">
      <c r="A300" s="59"/>
      <c r="B300" s="86"/>
      <c r="C300" s="37">
        <v>411300</v>
      </c>
      <c r="D300" s="40" t="s">
        <v>354</v>
      </c>
      <c r="E300" s="101">
        <v>0</v>
      </c>
      <c r="F300" s="101">
        <v>0</v>
      </c>
      <c r="G300" s="101">
        <v>500</v>
      </c>
    </row>
    <row r="301" spans="1:7" s="60" customFormat="1" ht="30" x14ac:dyDescent="0.25">
      <c r="A301" s="59"/>
      <c r="B301" s="86"/>
      <c r="C301" s="37">
        <v>411400</v>
      </c>
      <c r="D301" s="40" t="s">
        <v>355</v>
      </c>
      <c r="E301" s="101">
        <v>0</v>
      </c>
      <c r="F301" s="101">
        <v>0</v>
      </c>
      <c r="G301" s="101">
        <v>1200</v>
      </c>
    </row>
    <row r="302" spans="1:7" s="60" customFormat="1" x14ac:dyDescent="0.25">
      <c r="A302" s="59"/>
      <c r="B302" s="61">
        <v>412000</v>
      </c>
      <c r="C302" s="38"/>
      <c r="D302" s="282" t="s">
        <v>108</v>
      </c>
      <c r="E302" s="110"/>
      <c r="F302" s="110"/>
      <c r="G302" s="110">
        <f>G2968+G304+G305+G306+G307+G308</f>
        <v>20690</v>
      </c>
    </row>
    <row r="303" spans="1:7" s="336" customFormat="1" ht="14.25" customHeight="1" x14ac:dyDescent="0.25">
      <c r="A303" s="335"/>
      <c r="B303" s="337"/>
      <c r="C303" s="333">
        <v>412100</v>
      </c>
      <c r="D303" s="334" t="s">
        <v>51</v>
      </c>
      <c r="E303" s="338">
        <v>0</v>
      </c>
      <c r="F303" s="338">
        <v>0</v>
      </c>
      <c r="G303" s="338">
        <v>5220</v>
      </c>
    </row>
    <row r="304" spans="1:7" s="60" customFormat="1" ht="45" x14ac:dyDescent="0.25">
      <c r="A304" s="59"/>
      <c r="B304" s="37"/>
      <c r="C304" s="37">
        <v>412200</v>
      </c>
      <c r="D304" s="259" t="s">
        <v>370</v>
      </c>
      <c r="E304" s="101">
        <v>0</v>
      </c>
      <c r="F304" s="101">
        <v>0</v>
      </c>
      <c r="G304" s="101">
        <v>2430</v>
      </c>
    </row>
    <row r="305" spans="1:7" s="60" customFormat="1" ht="30" x14ac:dyDescent="0.25">
      <c r="A305" s="59"/>
      <c r="B305" s="37"/>
      <c r="C305" s="37">
        <v>412300</v>
      </c>
      <c r="D305" s="259" t="s">
        <v>371</v>
      </c>
      <c r="E305" s="101">
        <v>0</v>
      </c>
      <c r="F305" s="101">
        <v>0</v>
      </c>
      <c r="G305" s="101">
        <v>1200</v>
      </c>
    </row>
    <row r="306" spans="1:7" s="60" customFormat="1" ht="30" x14ac:dyDescent="0.25">
      <c r="A306" s="59"/>
      <c r="B306" s="37"/>
      <c r="C306" s="37">
        <v>412600</v>
      </c>
      <c r="D306" s="259" t="s">
        <v>372</v>
      </c>
      <c r="E306" s="101">
        <v>0</v>
      </c>
      <c r="F306" s="101">
        <v>0</v>
      </c>
      <c r="G306" s="101">
        <v>1500</v>
      </c>
    </row>
    <row r="307" spans="1:7" s="60" customFormat="1" ht="30" x14ac:dyDescent="0.25">
      <c r="A307" s="59"/>
      <c r="B307" s="37"/>
      <c r="C307" s="37">
        <v>412700</v>
      </c>
      <c r="D307" s="259" t="s">
        <v>373</v>
      </c>
      <c r="E307" s="101">
        <v>0</v>
      </c>
      <c r="F307" s="101">
        <v>0</v>
      </c>
      <c r="G307" s="101">
        <v>3000</v>
      </c>
    </row>
    <row r="308" spans="1:7" s="60" customFormat="1" ht="30" x14ac:dyDescent="0.25">
      <c r="A308" s="59"/>
      <c r="B308" s="37"/>
      <c r="C308" s="37">
        <v>412900</v>
      </c>
      <c r="D308" s="259" t="s">
        <v>374</v>
      </c>
      <c r="E308" s="101">
        <v>0</v>
      </c>
      <c r="F308" s="101">
        <v>0</v>
      </c>
      <c r="G308" s="101">
        <v>12560</v>
      </c>
    </row>
    <row r="309" spans="1:7" s="60" customFormat="1" x14ac:dyDescent="0.25">
      <c r="A309" s="59"/>
      <c r="B309" s="342">
        <v>415000</v>
      </c>
      <c r="C309" s="339"/>
      <c r="D309" s="340" t="s">
        <v>139</v>
      </c>
      <c r="E309" s="341"/>
      <c r="F309" s="341"/>
      <c r="G309" s="341">
        <f>G310+G311</f>
        <v>17500</v>
      </c>
    </row>
    <row r="310" spans="1:7" s="60" customFormat="1" x14ac:dyDescent="0.25">
      <c r="A310" s="59"/>
      <c r="B310" s="37"/>
      <c r="C310" s="37">
        <v>415100</v>
      </c>
      <c r="D310" s="259" t="s">
        <v>376</v>
      </c>
      <c r="E310" s="101">
        <v>0</v>
      </c>
      <c r="F310" s="101">
        <v>0</v>
      </c>
      <c r="G310" s="101">
        <v>9000</v>
      </c>
    </row>
    <row r="311" spans="1:7" s="60" customFormat="1" x14ac:dyDescent="0.25">
      <c r="A311" s="59"/>
      <c r="B311" s="37"/>
      <c r="C311" s="37">
        <v>415100</v>
      </c>
      <c r="D311" s="259" t="s">
        <v>377</v>
      </c>
      <c r="E311" s="101">
        <v>0</v>
      </c>
      <c r="F311" s="101">
        <v>0</v>
      </c>
      <c r="G311" s="101">
        <v>8500</v>
      </c>
    </row>
    <row r="312" spans="1:7" s="60" customFormat="1" x14ac:dyDescent="0.25">
      <c r="A312" s="59"/>
      <c r="B312" s="37"/>
      <c r="C312" s="68"/>
      <c r="D312" s="343" t="s">
        <v>378</v>
      </c>
      <c r="E312" s="344"/>
      <c r="F312" s="344"/>
      <c r="G312" s="345">
        <f>G313+G314</f>
        <v>7000</v>
      </c>
    </row>
    <row r="313" spans="1:7" s="60" customFormat="1" x14ac:dyDescent="0.25">
      <c r="A313" s="59"/>
      <c r="B313" s="43"/>
      <c r="C313" s="43">
        <v>511300</v>
      </c>
      <c r="D313" s="259" t="s">
        <v>380</v>
      </c>
      <c r="E313" s="117">
        <v>0</v>
      </c>
      <c r="F313" s="117">
        <v>0</v>
      </c>
      <c r="G313" s="117">
        <v>3000</v>
      </c>
    </row>
    <row r="314" spans="1:7" s="60" customFormat="1" x14ac:dyDescent="0.25">
      <c r="A314" s="59"/>
      <c r="B314" s="37"/>
      <c r="C314" s="37">
        <v>511100</v>
      </c>
      <c r="D314" s="259" t="s">
        <v>379</v>
      </c>
      <c r="E314" s="101">
        <v>0</v>
      </c>
      <c r="F314" s="101">
        <v>0</v>
      </c>
      <c r="G314" s="101">
        <v>4000</v>
      </c>
    </row>
    <row r="315" spans="1:7" s="60" customFormat="1" x14ac:dyDescent="0.25">
      <c r="A315" s="59"/>
      <c r="B315" s="371"/>
      <c r="C315" s="371"/>
      <c r="D315" s="371"/>
      <c r="E315" s="133"/>
      <c r="F315" s="133"/>
      <c r="G315" s="133">
        <f>G312+G309+G302+G297</f>
        <v>155810</v>
      </c>
    </row>
    <row r="316" spans="1:7" s="60" customFormat="1" ht="15.75" x14ac:dyDescent="0.25">
      <c r="A316" s="59"/>
      <c r="B316" s="331"/>
      <c r="C316" s="331"/>
      <c r="D316" s="331"/>
      <c r="E316" s="332"/>
      <c r="F316" s="332"/>
      <c r="G316" s="332"/>
    </row>
    <row r="317" spans="1:7" s="60" customFormat="1" x14ac:dyDescent="0.25">
      <c r="A317" s="59"/>
      <c r="B317" s="37"/>
      <c r="C317" s="37"/>
      <c r="D317" s="266" t="s">
        <v>381</v>
      </c>
      <c r="E317" s="101"/>
      <c r="F317" s="101"/>
      <c r="G317" s="101"/>
    </row>
    <row r="318" spans="1:7" s="60" customFormat="1" x14ac:dyDescent="0.25">
      <c r="A318" s="59"/>
      <c r="B318" s="37"/>
      <c r="C318" s="37"/>
      <c r="D318" s="245" t="s">
        <v>366</v>
      </c>
      <c r="E318" s="101"/>
      <c r="F318" s="101"/>
      <c r="G318" s="101"/>
    </row>
    <row r="319" spans="1:7" s="60" customFormat="1" x14ac:dyDescent="0.25">
      <c r="A319" s="59"/>
      <c r="B319" s="84">
        <v>411000</v>
      </c>
      <c r="C319" s="51"/>
      <c r="D319" s="280" t="s">
        <v>244</v>
      </c>
      <c r="E319" s="115"/>
      <c r="F319" s="115"/>
      <c r="G319" s="115">
        <f>G320+G321+G322+G323</f>
        <v>98500</v>
      </c>
    </row>
    <row r="320" spans="1:7" s="60" customFormat="1" x14ac:dyDescent="0.25">
      <c r="A320" s="59"/>
      <c r="B320" s="85"/>
      <c r="C320" s="37">
        <v>411100</v>
      </c>
      <c r="D320" s="281" t="s">
        <v>368</v>
      </c>
      <c r="E320" s="101">
        <v>0</v>
      </c>
      <c r="F320" s="101">
        <v>0</v>
      </c>
      <c r="G320" s="101">
        <v>75000</v>
      </c>
    </row>
    <row r="321" spans="1:12" s="60" customFormat="1" x14ac:dyDescent="0.25">
      <c r="A321" s="59"/>
      <c r="B321" s="86"/>
      <c r="C321" s="37">
        <v>411200</v>
      </c>
      <c r="D321" s="281" t="s">
        <v>369</v>
      </c>
      <c r="E321" s="101">
        <v>0</v>
      </c>
      <c r="F321" s="101">
        <v>0</v>
      </c>
      <c r="G321" s="101">
        <v>20000</v>
      </c>
      <c r="K321" s="390"/>
    </row>
    <row r="322" spans="1:12" s="60" customFormat="1" ht="30" x14ac:dyDescent="0.25">
      <c r="A322" s="59"/>
      <c r="B322" s="86"/>
      <c r="C322" s="37">
        <v>411300</v>
      </c>
      <c r="D322" s="40" t="s">
        <v>354</v>
      </c>
      <c r="E322" s="101">
        <v>0</v>
      </c>
      <c r="F322" s="101">
        <v>0</v>
      </c>
      <c r="G322" s="101">
        <v>500</v>
      </c>
    </row>
    <row r="323" spans="1:12" s="60" customFormat="1" ht="30" x14ac:dyDescent="0.25">
      <c r="A323" s="59"/>
      <c r="B323" s="86"/>
      <c r="C323" s="37">
        <v>411400</v>
      </c>
      <c r="D323" s="40" t="s">
        <v>355</v>
      </c>
      <c r="E323" s="101">
        <v>0</v>
      </c>
      <c r="F323" s="101">
        <v>0</v>
      </c>
      <c r="G323" s="101">
        <v>3000</v>
      </c>
    </row>
    <row r="324" spans="1:12" s="60" customFormat="1" x14ac:dyDescent="0.25">
      <c r="A324" s="59"/>
      <c r="B324" s="61">
        <v>412000</v>
      </c>
      <c r="C324" s="38"/>
      <c r="D324" s="282" t="s">
        <v>108</v>
      </c>
      <c r="E324" s="110"/>
      <c r="F324" s="110"/>
      <c r="G324" s="110">
        <f>G2990+G326+G327+G328+G329+G330</f>
        <v>69500</v>
      </c>
    </row>
    <row r="325" spans="1:12" s="60" customFormat="1" x14ac:dyDescent="0.25">
      <c r="A325" s="59"/>
      <c r="B325" s="337"/>
      <c r="C325" s="333">
        <v>412100</v>
      </c>
      <c r="D325" s="334" t="s">
        <v>51</v>
      </c>
      <c r="E325" s="338">
        <v>0</v>
      </c>
      <c r="F325" s="338">
        <v>0</v>
      </c>
      <c r="G325" s="338">
        <v>3000</v>
      </c>
    </row>
    <row r="326" spans="1:12" s="60" customFormat="1" ht="45" x14ac:dyDescent="0.25">
      <c r="A326" s="59"/>
      <c r="B326" s="37"/>
      <c r="C326" s="37">
        <v>412200</v>
      </c>
      <c r="D326" s="259" t="s">
        <v>370</v>
      </c>
      <c r="E326" s="101">
        <v>0</v>
      </c>
      <c r="F326" s="101">
        <v>0</v>
      </c>
      <c r="G326" s="101">
        <v>2500</v>
      </c>
    </row>
    <row r="327" spans="1:12" s="60" customFormat="1" ht="30" x14ac:dyDescent="0.25">
      <c r="A327" s="59"/>
      <c r="B327" s="37"/>
      <c r="C327" s="37">
        <v>412300</v>
      </c>
      <c r="D327" s="259" t="s">
        <v>371</v>
      </c>
      <c r="E327" s="101">
        <v>0</v>
      </c>
      <c r="F327" s="101">
        <v>0</v>
      </c>
      <c r="G327" s="101">
        <v>4000</v>
      </c>
    </row>
    <row r="328" spans="1:12" s="60" customFormat="1" ht="30" x14ac:dyDescent="0.25">
      <c r="A328" s="59"/>
      <c r="B328" s="37"/>
      <c r="C328" s="37">
        <v>412600</v>
      </c>
      <c r="D328" s="259" t="s">
        <v>372</v>
      </c>
      <c r="E328" s="101">
        <v>0</v>
      </c>
      <c r="F328" s="101">
        <v>0</v>
      </c>
      <c r="G328" s="101">
        <v>3000</v>
      </c>
    </row>
    <row r="329" spans="1:12" s="60" customFormat="1" ht="30" x14ac:dyDescent="0.25">
      <c r="A329" s="59"/>
      <c r="B329" s="37"/>
      <c r="C329" s="37">
        <v>412700</v>
      </c>
      <c r="D329" s="259" t="s">
        <v>373</v>
      </c>
      <c r="E329" s="101">
        <v>0</v>
      </c>
      <c r="F329" s="101">
        <v>0</v>
      </c>
      <c r="G329" s="101">
        <v>6000</v>
      </c>
    </row>
    <row r="330" spans="1:12" s="60" customFormat="1" ht="30" x14ac:dyDescent="0.25">
      <c r="A330" s="59"/>
      <c r="B330" s="37"/>
      <c r="C330" s="37">
        <v>412900</v>
      </c>
      <c r="D330" s="259" t="s">
        <v>374</v>
      </c>
      <c r="E330" s="101">
        <v>0</v>
      </c>
      <c r="F330" s="101">
        <v>0</v>
      </c>
      <c r="G330" s="101">
        <v>54000</v>
      </c>
      <c r="L330" s="390"/>
    </row>
    <row r="331" spans="1:12" s="60" customFormat="1" x14ac:dyDescent="0.25">
      <c r="A331" s="59"/>
      <c r="B331" s="68"/>
      <c r="C331" s="68"/>
      <c r="D331" s="343" t="s">
        <v>378</v>
      </c>
      <c r="E331" s="344"/>
      <c r="F331" s="344"/>
      <c r="G331" s="345">
        <f>G332</f>
        <v>25000</v>
      </c>
    </row>
    <row r="332" spans="1:12" s="60" customFormat="1" x14ac:dyDescent="0.25">
      <c r="A332" s="59"/>
      <c r="B332" s="43"/>
      <c r="C332" s="43">
        <v>511300</v>
      </c>
      <c r="D332" s="259" t="s">
        <v>380</v>
      </c>
      <c r="E332" s="117">
        <v>0</v>
      </c>
      <c r="F332" s="117">
        <v>0</v>
      </c>
      <c r="G332" s="117">
        <v>25000</v>
      </c>
    </row>
    <row r="333" spans="1:12" s="60" customFormat="1" x14ac:dyDescent="0.25">
      <c r="A333" s="59"/>
      <c r="B333" s="371"/>
      <c r="C333" s="371"/>
      <c r="D333" s="371"/>
      <c r="E333" s="133"/>
      <c r="F333" s="133"/>
      <c r="G333" s="133">
        <f>G331+G324+G319</f>
        <v>193000</v>
      </c>
    </row>
    <row r="334" spans="1:12" s="60" customFormat="1" ht="15.75" x14ac:dyDescent="0.25">
      <c r="A334" s="59"/>
      <c r="B334" s="331"/>
      <c r="C334" s="331"/>
      <c r="D334" s="331"/>
      <c r="E334" s="332"/>
      <c r="F334" s="332"/>
      <c r="G334" s="332"/>
    </row>
    <row r="335" spans="1:12" ht="14.25" customHeight="1" x14ac:dyDescent="0.25"/>
    <row r="336" spans="1:12" ht="18.75" x14ac:dyDescent="0.25">
      <c r="B336" s="373" t="s">
        <v>175</v>
      </c>
      <c r="C336" s="373"/>
      <c r="D336" s="373"/>
      <c r="E336" s="148">
        <f>E276+E230+E216+E149+E128+E94+E29</f>
        <v>9510828</v>
      </c>
      <c r="F336" s="148"/>
      <c r="G336" s="148">
        <f>G333+G315+G293+G276+G230+G216+G149+G128+G94+G29</f>
        <v>9960289</v>
      </c>
    </row>
    <row r="337" spans="4:7" ht="36" customHeight="1" x14ac:dyDescent="0.35">
      <c r="D337" s="346" t="s">
        <v>384</v>
      </c>
      <c r="G337" s="347">
        <f>'ПРИХОДИ И ПРИМИЦИ 2018 3'!F64-'ОРГАНИЗАЦИОНА 2019 6'!G336</f>
        <v>0</v>
      </c>
    </row>
    <row r="338" spans="4:7" ht="23.25" customHeight="1" x14ac:dyDescent="0.25"/>
  </sheetData>
  <mergeCells count="18">
    <mergeCell ref="B2:G2"/>
    <mergeCell ref="B128:D128"/>
    <mergeCell ref="B3:C3"/>
    <mergeCell ref="B4:C4"/>
    <mergeCell ref="B29:D29"/>
    <mergeCell ref="B94:D94"/>
    <mergeCell ref="B149:D149"/>
    <mergeCell ref="B216:D216"/>
    <mergeCell ref="B230:D230"/>
    <mergeCell ref="B276:D276"/>
    <mergeCell ref="B336:D336"/>
    <mergeCell ref="B333:D333"/>
    <mergeCell ref="G255:G257"/>
    <mergeCell ref="G248:G251"/>
    <mergeCell ref="B293:D293"/>
    <mergeCell ref="B315:D315"/>
    <mergeCell ref="F248:F251"/>
    <mergeCell ref="F255:F257"/>
  </mergeCells>
  <phoneticPr fontId="68" type="noConversion"/>
  <pageMargins left="0.23622047244094499" right="0.23622047244094499" top="0.74803149606299202" bottom="0.74803149606299202" header="0.31496062992126" footer="0.31496062992126"/>
  <pageSetup paperSize="9" orientation="landscape" r:id="rId1"/>
  <rowBreaks count="9" manualBreakCount="9">
    <brk id="30" max="16383" man="1"/>
    <brk id="66" max="16383" man="1"/>
    <brk id="95" max="16383" man="1"/>
    <brk id="129" max="16383" man="1"/>
    <brk id="150" max="16383" man="1"/>
    <brk id="180" max="16383" man="1"/>
    <brk id="217" max="16383" man="1"/>
    <brk id="231" max="16383" man="1"/>
    <brk id="3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6"/>
  <sheetViews>
    <sheetView workbookViewId="0">
      <selection activeCell="B2" sqref="B2:G2"/>
    </sheetView>
  </sheetViews>
  <sheetFormatPr defaultColWidth="9.140625" defaultRowHeight="12.75" x14ac:dyDescent="0.25"/>
  <cols>
    <col min="1" max="1" width="9.140625" style="1"/>
    <col min="2" max="2" width="15" style="1" customWidth="1"/>
    <col min="3" max="3" width="50.5703125" style="4" customWidth="1"/>
    <col min="4" max="7" width="17.7109375" style="5" customWidth="1"/>
    <col min="8" max="16384" width="9.140625" style="1"/>
  </cols>
  <sheetData>
    <row r="2" spans="2:7" ht="43.5" customHeight="1" x14ac:dyDescent="0.25">
      <c r="B2" s="362" t="s">
        <v>398</v>
      </c>
      <c r="C2" s="363"/>
      <c r="D2" s="363"/>
      <c r="E2" s="363"/>
      <c r="F2" s="363"/>
      <c r="G2" s="363"/>
    </row>
    <row r="4" spans="2:7" ht="25.5" x14ac:dyDescent="0.25">
      <c r="B4" s="162" t="s">
        <v>0</v>
      </c>
      <c r="C4" s="162" t="s">
        <v>1</v>
      </c>
      <c r="D4" s="163" t="s">
        <v>345</v>
      </c>
      <c r="E4" s="163" t="s">
        <v>395</v>
      </c>
      <c r="F4" s="163" t="s">
        <v>397</v>
      </c>
      <c r="G4" s="163" t="s">
        <v>239</v>
      </c>
    </row>
    <row r="5" spans="2:7" x14ac:dyDescent="0.25">
      <c r="B5" s="1">
        <v>1</v>
      </c>
      <c r="C5" s="1">
        <v>2</v>
      </c>
      <c r="D5" s="2">
        <v>3</v>
      </c>
      <c r="E5" s="2"/>
      <c r="F5" s="2">
        <v>4</v>
      </c>
      <c r="G5" s="2">
        <v>5</v>
      </c>
    </row>
    <row r="7" spans="2:7" x14ac:dyDescent="0.25">
      <c r="B7" s="164"/>
      <c r="C7" s="165" t="s">
        <v>240</v>
      </c>
      <c r="D7" s="166">
        <f>D9+D16+D23</f>
        <v>8941798</v>
      </c>
      <c r="E7" s="166">
        <f>E9+E16+E23</f>
        <v>9510828</v>
      </c>
      <c r="F7" s="166">
        <f>F9+F16+F23</f>
        <v>9960289</v>
      </c>
      <c r="G7" s="167">
        <f>F7/D7*100</f>
        <v>111.39022599258001</v>
      </c>
    </row>
    <row r="8" spans="2:7" x14ac:dyDescent="0.25">
      <c r="G8" s="7"/>
    </row>
    <row r="9" spans="2:7" x14ac:dyDescent="0.25">
      <c r="B9" s="364" t="s">
        <v>2</v>
      </c>
      <c r="C9" s="364"/>
      <c r="D9" s="168">
        <f>D11+D12+D13+D14</f>
        <v>2111298</v>
      </c>
      <c r="E9" s="168">
        <f>E11+E12+E13+E14</f>
        <v>2271128</v>
      </c>
      <c r="F9" s="168">
        <f>F11+F12+F13+F14</f>
        <v>2570500</v>
      </c>
      <c r="G9" s="10">
        <f>F9/D9*100</f>
        <v>121.74974825912778</v>
      </c>
    </row>
    <row r="10" spans="2:7" x14ac:dyDescent="0.25">
      <c r="G10" s="7"/>
    </row>
    <row r="11" spans="2:7" s="9" customFormat="1" ht="26.25" customHeight="1" x14ac:dyDescent="0.25">
      <c r="B11" s="9">
        <v>713</v>
      </c>
      <c r="C11" s="8" t="s">
        <v>4</v>
      </c>
      <c r="D11" s="7">
        <v>311000</v>
      </c>
      <c r="E11" s="7">
        <v>212000</v>
      </c>
      <c r="F11" s="7">
        <v>345000</v>
      </c>
      <c r="G11" s="7">
        <f>F11/D11*100</f>
        <v>110.93247588424437</v>
      </c>
    </row>
    <row r="12" spans="2:7" s="8" customFormat="1" x14ac:dyDescent="0.25">
      <c r="B12" s="9">
        <v>714</v>
      </c>
      <c r="C12" s="8" t="s">
        <v>7</v>
      </c>
      <c r="D12" s="7">
        <v>31000</v>
      </c>
      <c r="E12" s="7">
        <v>35000</v>
      </c>
      <c r="F12" s="7">
        <v>45000</v>
      </c>
      <c r="G12" s="7">
        <f t="shared" ref="G12:G14" si="0">F12/D12*100</f>
        <v>145.16129032258064</v>
      </c>
    </row>
    <row r="13" spans="2:7" s="9" customFormat="1" x14ac:dyDescent="0.25">
      <c r="B13" s="9">
        <v>717</v>
      </c>
      <c r="C13" s="8" t="s">
        <v>9</v>
      </c>
      <c r="D13" s="7">
        <v>1768798</v>
      </c>
      <c r="E13" s="7">
        <v>2023628</v>
      </c>
      <c r="F13" s="7">
        <v>2180000</v>
      </c>
      <c r="G13" s="7">
        <f t="shared" si="0"/>
        <v>123.24753872403747</v>
      </c>
    </row>
    <row r="14" spans="2:7" s="9" customFormat="1" x14ac:dyDescent="0.25">
      <c r="B14" s="9">
        <v>719</v>
      </c>
      <c r="C14" s="8" t="s">
        <v>11</v>
      </c>
      <c r="D14" s="7">
        <v>500</v>
      </c>
      <c r="E14" s="7">
        <v>500</v>
      </c>
      <c r="F14" s="7">
        <f>'ПРИХОДИ И ПРИМИЦИ 2018 3'!E15</f>
        <v>500</v>
      </c>
      <c r="G14" s="7">
        <f t="shared" si="0"/>
        <v>100</v>
      </c>
    </row>
    <row r="15" spans="2:7" s="9" customFormat="1" x14ac:dyDescent="0.25">
      <c r="C15" s="8"/>
      <c r="D15" s="7"/>
      <c r="E15" s="7"/>
      <c r="F15" s="7"/>
      <c r="G15" s="7"/>
    </row>
    <row r="16" spans="2:7" s="9" customFormat="1" x14ac:dyDescent="0.25">
      <c r="B16" s="364" t="s">
        <v>12</v>
      </c>
      <c r="C16" s="364"/>
      <c r="D16" s="168">
        <f>D18+D19+D20+D21</f>
        <v>6670500</v>
      </c>
      <c r="E16" s="168">
        <f>E18+E19+E20+E21</f>
        <v>6899700</v>
      </c>
      <c r="F16" s="168">
        <f>F18+F19+F20+F21</f>
        <v>7132789</v>
      </c>
      <c r="G16" s="10">
        <f>F16/D16*100</f>
        <v>106.93035004872198</v>
      </c>
    </row>
    <row r="17" spans="2:7" s="9" customFormat="1" x14ac:dyDescent="0.25">
      <c r="C17" s="8"/>
      <c r="D17" s="7"/>
      <c r="E17" s="7"/>
      <c r="F17" s="7"/>
      <c r="G17" s="7"/>
    </row>
    <row r="18" spans="2:7" s="9" customFormat="1" x14ac:dyDescent="0.25">
      <c r="B18" s="9">
        <v>721</v>
      </c>
      <c r="C18" s="8" t="s">
        <v>13</v>
      </c>
      <c r="D18" s="7">
        <v>6000</v>
      </c>
      <c r="E18" s="7">
        <v>7000</v>
      </c>
      <c r="F18" s="7">
        <v>14900</v>
      </c>
      <c r="G18" s="7">
        <f>F18/D18*100</f>
        <v>248.33333333333334</v>
      </c>
    </row>
    <row r="19" spans="2:7" s="9" customFormat="1" x14ac:dyDescent="0.25">
      <c r="B19" s="9">
        <v>722</v>
      </c>
      <c r="C19" s="8" t="s">
        <v>15</v>
      </c>
      <c r="D19" s="7">
        <v>6664200</v>
      </c>
      <c r="E19" s="7">
        <v>6892500</v>
      </c>
      <c r="F19" s="7">
        <v>7117789</v>
      </c>
      <c r="G19" s="7">
        <f t="shared" ref="G19:G20" si="1">F19/D19*100</f>
        <v>106.80635335073978</v>
      </c>
    </row>
    <row r="20" spans="2:7" s="9" customFormat="1" x14ac:dyDescent="0.25">
      <c r="B20" s="9">
        <v>723</v>
      </c>
      <c r="C20" s="8" t="s">
        <v>37</v>
      </c>
      <c r="D20" s="7">
        <v>300</v>
      </c>
      <c r="E20" s="7">
        <v>200</v>
      </c>
      <c r="F20" s="7">
        <v>100</v>
      </c>
      <c r="G20" s="7">
        <f t="shared" si="1"/>
        <v>33.333333333333329</v>
      </c>
    </row>
    <row r="21" spans="2:7" s="9" customFormat="1" x14ac:dyDescent="0.25">
      <c r="B21" s="9">
        <v>729</v>
      </c>
      <c r="C21" s="8" t="s">
        <v>241</v>
      </c>
      <c r="D21" s="7">
        <v>0</v>
      </c>
      <c r="E21" s="7">
        <v>0</v>
      </c>
      <c r="F21" s="7">
        <v>0</v>
      </c>
      <c r="G21" s="7"/>
    </row>
    <row r="22" spans="2:7" s="9" customFormat="1" x14ac:dyDescent="0.25">
      <c r="C22" s="8"/>
      <c r="D22" s="7"/>
      <c r="E22" s="7"/>
      <c r="F22" s="7"/>
      <c r="G22" s="7"/>
    </row>
    <row r="23" spans="2:7" s="9" customFormat="1" x14ac:dyDescent="0.25">
      <c r="B23" s="364" t="s">
        <v>39</v>
      </c>
      <c r="C23" s="364"/>
      <c r="D23" s="168">
        <f>D25+D26</f>
        <v>160000</v>
      </c>
      <c r="E23" s="168">
        <f>E25+E26</f>
        <v>340000</v>
      </c>
      <c r="F23" s="168">
        <f>F25+F26</f>
        <v>257000</v>
      </c>
      <c r="G23" s="10">
        <f>F23/D23*100</f>
        <v>160.625</v>
      </c>
    </row>
    <row r="24" spans="2:7" s="9" customFormat="1" x14ac:dyDescent="0.25">
      <c r="C24" s="8"/>
      <c r="D24" s="7"/>
      <c r="E24" s="7"/>
      <c r="F24" s="7"/>
      <c r="G24" s="237"/>
    </row>
    <row r="25" spans="2:7" s="9" customFormat="1" x14ac:dyDescent="0.25">
      <c r="B25" s="9">
        <v>731</v>
      </c>
      <c r="C25" s="8" t="s">
        <v>40</v>
      </c>
      <c r="D25" s="7">
        <v>50000</v>
      </c>
      <c r="E25" s="7">
        <v>200000</v>
      </c>
      <c r="F25" s="7">
        <v>100000</v>
      </c>
      <c r="G25" s="237">
        <f t="shared" ref="G25:G64" si="2">F25/D25*100</f>
        <v>200</v>
      </c>
    </row>
    <row r="26" spans="2:7" s="9" customFormat="1" x14ac:dyDescent="0.25">
      <c r="B26" s="9">
        <v>781</v>
      </c>
      <c r="C26" s="8" t="s">
        <v>42</v>
      </c>
      <c r="D26" s="7">
        <v>110000</v>
      </c>
      <c r="E26" s="7">
        <v>140000</v>
      </c>
      <c r="F26" s="7">
        <v>157000</v>
      </c>
      <c r="G26" s="237">
        <f t="shared" si="2"/>
        <v>142.72727272727272</v>
      </c>
    </row>
    <row r="27" spans="2:7" s="9" customFormat="1" x14ac:dyDescent="0.25">
      <c r="C27" s="8"/>
      <c r="D27" s="7"/>
      <c r="E27" s="7"/>
      <c r="F27" s="7"/>
      <c r="G27" s="237"/>
    </row>
    <row r="28" spans="2:7" s="21" customFormat="1" x14ac:dyDescent="0.25">
      <c r="B28" s="169"/>
      <c r="C28" s="170" t="s">
        <v>242</v>
      </c>
      <c r="D28" s="171">
        <f>D30+D41+D39</f>
        <v>5965798</v>
      </c>
      <c r="E28" s="171">
        <f>E30+E41</f>
        <v>5401828</v>
      </c>
      <c r="F28" s="171">
        <f>F30+F41</f>
        <v>6687210</v>
      </c>
      <c r="G28" s="172">
        <f t="shared" si="2"/>
        <v>112.0924644112992</v>
      </c>
    </row>
    <row r="29" spans="2:7" s="21" customFormat="1" x14ac:dyDescent="0.25">
      <c r="B29" s="22"/>
      <c r="C29" s="19"/>
      <c r="D29" s="20"/>
      <c r="E29" s="20"/>
      <c r="F29" s="20"/>
      <c r="G29" s="237"/>
    </row>
    <row r="30" spans="2:7" s="21" customFormat="1" x14ac:dyDescent="0.25">
      <c r="B30" s="173"/>
      <c r="C30" s="174" t="s">
        <v>243</v>
      </c>
      <c r="D30" s="175">
        <f>D32+D33+D34+D35+D36+D37+D38</f>
        <v>5838798</v>
      </c>
      <c r="E30" s="175">
        <f>E32+E33+E34+E35+E36+E37+E38+E39</f>
        <v>5301828</v>
      </c>
      <c r="F30" s="175">
        <f>F32+F33+F34+F35+F36+F37+F38+F39</f>
        <v>6537210</v>
      </c>
      <c r="G30" s="176">
        <f t="shared" si="2"/>
        <v>111.96157154263599</v>
      </c>
    </row>
    <row r="31" spans="2:7" s="21" customFormat="1" x14ac:dyDescent="0.25">
      <c r="B31" s="22"/>
      <c r="C31" s="23"/>
      <c r="D31" s="24"/>
      <c r="E31" s="24"/>
      <c r="F31" s="24"/>
      <c r="G31" s="237"/>
    </row>
    <row r="32" spans="2:7" s="21" customFormat="1" x14ac:dyDescent="0.25">
      <c r="B32" s="21">
        <v>411</v>
      </c>
      <c r="C32" s="23" t="s">
        <v>244</v>
      </c>
      <c r="D32" s="24">
        <v>1012028</v>
      </c>
      <c r="E32" s="24">
        <v>1075028</v>
      </c>
      <c r="F32" s="24">
        <v>1571077</v>
      </c>
      <c r="G32" s="237">
        <f t="shared" si="2"/>
        <v>155.24046765504511</v>
      </c>
    </row>
    <row r="33" spans="2:18" s="21" customFormat="1" x14ac:dyDescent="0.25">
      <c r="B33" s="21">
        <v>412</v>
      </c>
      <c r="C33" s="23" t="s">
        <v>108</v>
      </c>
      <c r="D33" s="24">
        <v>1663870</v>
      </c>
      <c r="E33" s="24">
        <v>1484300</v>
      </c>
      <c r="F33" s="24">
        <v>1824490</v>
      </c>
      <c r="G33" s="237">
        <f t="shared" si="2"/>
        <v>109.65339840251941</v>
      </c>
    </row>
    <row r="34" spans="2:18" s="21" customFormat="1" x14ac:dyDescent="0.25">
      <c r="B34" s="21">
        <v>413</v>
      </c>
      <c r="C34" s="177" t="s">
        <v>245</v>
      </c>
      <c r="D34" s="24">
        <v>0</v>
      </c>
      <c r="E34" s="24">
        <v>0</v>
      </c>
      <c r="F34" s="24">
        <v>94143</v>
      </c>
      <c r="G34" s="237">
        <v>0</v>
      </c>
      <c r="R34" s="9"/>
    </row>
    <row r="35" spans="2:18" s="9" customFormat="1" x14ac:dyDescent="0.25">
      <c r="B35" s="9">
        <v>414</v>
      </c>
      <c r="C35" s="8" t="s">
        <v>147</v>
      </c>
      <c r="D35" s="7">
        <f>'РАСХОДИ И ИЗДАЦИ 2019 2'!D34</f>
        <v>345000</v>
      </c>
      <c r="E35" s="7">
        <v>203000</v>
      </c>
      <c r="F35" s="24">
        <v>205000</v>
      </c>
      <c r="G35" s="237">
        <f t="shared" si="2"/>
        <v>59.420289855072461</v>
      </c>
    </row>
    <row r="36" spans="2:18" s="9" customFormat="1" x14ac:dyDescent="0.25">
      <c r="B36" s="9">
        <v>415</v>
      </c>
      <c r="C36" s="8" t="s">
        <v>139</v>
      </c>
      <c r="D36" s="7">
        <v>1677900</v>
      </c>
      <c r="E36" s="7">
        <v>1395500</v>
      </c>
      <c r="F36" s="24">
        <v>1691500</v>
      </c>
      <c r="G36" s="237">
        <f t="shared" si="2"/>
        <v>100.81053698074976</v>
      </c>
    </row>
    <row r="37" spans="2:18" s="9" customFormat="1" x14ac:dyDescent="0.25">
      <c r="B37" s="9">
        <v>416</v>
      </c>
      <c r="C37" s="8" t="s">
        <v>149</v>
      </c>
      <c r="D37" s="7">
        <f>'РАСХОДИ И ИЗДАЦИ 2019 2'!D44</f>
        <v>1100000</v>
      </c>
      <c r="E37" s="7">
        <v>1130000</v>
      </c>
      <c r="F37" s="24">
        <v>1135000</v>
      </c>
      <c r="G37" s="237">
        <f t="shared" si="2"/>
        <v>103.18181818181817</v>
      </c>
    </row>
    <row r="38" spans="2:18" s="9" customFormat="1" x14ac:dyDescent="0.25">
      <c r="B38" s="9">
        <v>419</v>
      </c>
      <c r="C38" s="8" t="s">
        <v>96</v>
      </c>
      <c r="D38" s="7">
        <v>40000</v>
      </c>
      <c r="E38" s="7">
        <v>10000</v>
      </c>
      <c r="F38" s="24">
        <v>2000</v>
      </c>
      <c r="G38" s="237">
        <f t="shared" si="2"/>
        <v>5</v>
      </c>
    </row>
    <row r="39" spans="2:18" s="9" customFormat="1" x14ac:dyDescent="0.25">
      <c r="B39" s="9">
        <v>480</v>
      </c>
      <c r="C39" s="8" t="s">
        <v>325</v>
      </c>
      <c r="D39" s="7">
        <v>7000</v>
      </c>
      <c r="E39" s="7">
        <v>4000</v>
      </c>
      <c r="F39" s="24">
        <v>14000</v>
      </c>
      <c r="G39" s="237">
        <f t="shared" si="2"/>
        <v>200</v>
      </c>
    </row>
    <row r="40" spans="2:18" s="9" customFormat="1" x14ac:dyDescent="0.25">
      <c r="C40" s="8"/>
      <c r="D40" s="7"/>
      <c r="E40" s="7"/>
      <c r="F40" s="7"/>
      <c r="G40" s="237"/>
    </row>
    <row r="41" spans="2:18" x14ac:dyDescent="0.25">
      <c r="B41" s="178" t="s">
        <v>246</v>
      </c>
      <c r="C41" s="179" t="s">
        <v>247</v>
      </c>
      <c r="D41" s="180">
        <v>120000</v>
      </c>
      <c r="E41" s="180">
        <v>100000</v>
      </c>
      <c r="F41" s="180">
        <v>150000</v>
      </c>
      <c r="G41" s="181">
        <f t="shared" si="2"/>
        <v>125</v>
      </c>
    </row>
    <row r="42" spans="2:18" s="9" customFormat="1" x14ac:dyDescent="0.25">
      <c r="C42" s="8"/>
      <c r="D42" s="7"/>
      <c r="E42" s="7"/>
      <c r="F42" s="7"/>
      <c r="G42" s="237"/>
    </row>
    <row r="43" spans="2:18" s="9" customFormat="1" x14ac:dyDescent="0.25">
      <c r="B43" s="182"/>
      <c r="C43" s="183" t="s">
        <v>248</v>
      </c>
      <c r="D43" s="184">
        <f>D7-D28</f>
        <v>2976000</v>
      </c>
      <c r="E43" s="184">
        <f>E7-E28</f>
        <v>4109000</v>
      </c>
      <c r="F43" s="184">
        <f>F7-F28</f>
        <v>3273079</v>
      </c>
      <c r="G43" s="18">
        <f t="shared" si="2"/>
        <v>109.98249327956988</v>
      </c>
    </row>
    <row r="44" spans="2:18" s="9" customFormat="1" x14ac:dyDescent="0.25">
      <c r="C44" s="8"/>
      <c r="D44" s="7"/>
      <c r="E44" s="7"/>
      <c r="F44" s="7"/>
      <c r="G44" s="237"/>
    </row>
    <row r="45" spans="2:18" x14ac:dyDescent="0.25">
      <c r="B45" s="173"/>
      <c r="C45" s="174" t="s">
        <v>249</v>
      </c>
      <c r="D45" s="175">
        <f>D47-D48</f>
        <v>-2976000</v>
      </c>
      <c r="E45" s="175">
        <f>E47-E48</f>
        <v>-4109000</v>
      </c>
      <c r="F45" s="175">
        <f>F47-F48</f>
        <v>-3218000</v>
      </c>
      <c r="G45" s="176">
        <f t="shared" si="2"/>
        <v>108.13172043010752</v>
      </c>
    </row>
    <row r="46" spans="2:18" s="9" customFormat="1" x14ac:dyDescent="0.25">
      <c r="C46" s="8"/>
      <c r="D46" s="7"/>
      <c r="E46" s="7"/>
      <c r="F46" s="7"/>
      <c r="G46" s="237"/>
    </row>
    <row r="47" spans="2:18" s="185" customFormat="1" x14ac:dyDescent="0.25">
      <c r="B47" s="185">
        <v>810</v>
      </c>
      <c r="C47" s="186" t="s">
        <v>250</v>
      </c>
      <c r="D47" s="187">
        <v>50000</v>
      </c>
      <c r="E47" s="187">
        <v>0</v>
      </c>
      <c r="F47" s="187">
        <v>0</v>
      </c>
      <c r="G47" s="237"/>
    </row>
    <row r="48" spans="2:18" s="185" customFormat="1" x14ac:dyDescent="0.25">
      <c r="B48" s="185">
        <v>510</v>
      </c>
      <c r="C48" s="186" t="s">
        <v>251</v>
      </c>
      <c r="D48" s="187">
        <f>'РАСХОДИ И ИЗДАЦИ 2019 2'!D55</f>
        <v>3026000</v>
      </c>
      <c r="E48" s="187">
        <v>4109000</v>
      </c>
      <c r="F48" s="187">
        <v>3218000</v>
      </c>
      <c r="G48" s="237">
        <f t="shared" si="2"/>
        <v>106.34500991407798</v>
      </c>
    </row>
    <row r="49" spans="2:7" x14ac:dyDescent="0.25">
      <c r="G49" s="237"/>
    </row>
    <row r="50" spans="2:7" x14ac:dyDescent="0.25">
      <c r="B50" s="188"/>
      <c r="C50" s="152" t="s">
        <v>252</v>
      </c>
      <c r="D50" s="16">
        <f>D43+D45</f>
        <v>0</v>
      </c>
      <c r="E50" s="16">
        <v>0</v>
      </c>
      <c r="F50" s="16">
        <f>F45-F52</f>
        <v>-3162921</v>
      </c>
      <c r="G50" s="18">
        <v>0</v>
      </c>
    </row>
    <row r="51" spans="2:7" s="22" customFormat="1" x14ac:dyDescent="0.25">
      <c r="C51" s="19"/>
      <c r="D51" s="20"/>
      <c r="E51" s="20"/>
      <c r="F51" s="20"/>
      <c r="G51" s="237"/>
    </row>
    <row r="52" spans="2:7" s="193" customFormat="1" x14ac:dyDescent="0.25">
      <c r="B52" s="189"/>
      <c r="C52" s="190" t="s">
        <v>253</v>
      </c>
      <c r="D52" s="191">
        <v>0</v>
      </c>
      <c r="E52" s="191">
        <f>E54-E59</f>
        <v>0</v>
      </c>
      <c r="F52" s="191">
        <f>F54+F59+F64</f>
        <v>-55079</v>
      </c>
      <c r="G52" s="192">
        <v>0</v>
      </c>
    </row>
    <row r="53" spans="2:7" s="193" customFormat="1" x14ac:dyDescent="0.25">
      <c r="C53" s="194"/>
      <c r="D53" s="195"/>
      <c r="E53" s="195"/>
      <c r="F53" s="195"/>
      <c r="G53" s="237"/>
    </row>
    <row r="54" spans="2:7" x14ac:dyDescent="0.25">
      <c r="B54" s="173"/>
      <c r="C54" s="174" t="s">
        <v>254</v>
      </c>
      <c r="D54" s="175">
        <f>D56-D57</f>
        <v>0</v>
      </c>
      <c r="E54" s="175">
        <f>E56-E57</f>
        <v>0</v>
      </c>
      <c r="F54" s="175">
        <f>F56-F57</f>
        <v>0</v>
      </c>
      <c r="G54" s="176">
        <v>0</v>
      </c>
    </row>
    <row r="55" spans="2:7" x14ac:dyDescent="0.25">
      <c r="G55" s="237"/>
    </row>
    <row r="56" spans="2:7" s="185" customFormat="1" x14ac:dyDescent="0.25">
      <c r="B56" s="185">
        <v>910</v>
      </c>
      <c r="C56" s="186" t="s">
        <v>255</v>
      </c>
      <c r="D56" s="187">
        <v>0</v>
      </c>
      <c r="E56" s="187">
        <v>0</v>
      </c>
      <c r="F56" s="187">
        <v>0</v>
      </c>
      <c r="G56" s="237"/>
    </row>
    <row r="57" spans="2:7" s="185" customFormat="1" x14ac:dyDescent="0.25">
      <c r="B57" s="185">
        <v>610</v>
      </c>
      <c r="C57" s="186" t="s">
        <v>256</v>
      </c>
      <c r="D57" s="187">
        <v>0</v>
      </c>
      <c r="E57" s="187">
        <v>0</v>
      </c>
      <c r="F57" s="187">
        <v>0</v>
      </c>
      <c r="G57" s="237"/>
    </row>
    <row r="58" spans="2:7" x14ac:dyDescent="0.25">
      <c r="G58" s="237"/>
    </row>
    <row r="59" spans="2:7" x14ac:dyDescent="0.25">
      <c r="B59" s="173"/>
      <c r="C59" s="174" t="s">
        <v>257</v>
      </c>
      <c r="D59" s="175">
        <f>D61-D62</f>
        <v>0</v>
      </c>
      <c r="E59" s="175">
        <f>E61-E62</f>
        <v>0</v>
      </c>
      <c r="F59" s="175">
        <f>F61-F62</f>
        <v>-55079</v>
      </c>
      <c r="G59" s="176">
        <v>0</v>
      </c>
    </row>
    <row r="60" spans="2:7" x14ac:dyDescent="0.25">
      <c r="G60" s="237"/>
    </row>
    <row r="61" spans="2:7" s="185" customFormat="1" x14ac:dyDescent="0.25">
      <c r="B61" s="185">
        <v>920</v>
      </c>
      <c r="C61" s="186" t="s">
        <v>258</v>
      </c>
      <c r="D61" s="187">
        <v>0</v>
      </c>
      <c r="E61" s="187">
        <v>0</v>
      </c>
      <c r="F61" s="187">
        <v>0</v>
      </c>
      <c r="G61" s="237"/>
    </row>
    <row r="62" spans="2:7" s="185" customFormat="1" x14ac:dyDescent="0.25">
      <c r="B62" s="185">
        <v>620</v>
      </c>
      <c r="C62" s="186" t="s">
        <v>259</v>
      </c>
      <c r="D62" s="187">
        <v>0</v>
      </c>
      <c r="E62" s="187">
        <v>0</v>
      </c>
      <c r="F62" s="187">
        <v>55079</v>
      </c>
      <c r="G62" s="237"/>
    </row>
    <row r="63" spans="2:7" s="185" customFormat="1" x14ac:dyDescent="0.25">
      <c r="C63" s="186"/>
      <c r="D63" s="187"/>
      <c r="E63" s="187"/>
      <c r="F63" s="187"/>
      <c r="G63" s="237"/>
    </row>
    <row r="64" spans="2:7" s="185" customFormat="1" ht="12.75" customHeight="1" x14ac:dyDescent="0.25">
      <c r="B64" s="379" t="s">
        <v>260</v>
      </c>
      <c r="C64" s="379"/>
      <c r="D64" s="25">
        <v>0</v>
      </c>
      <c r="E64" s="25">
        <v>0</v>
      </c>
      <c r="F64" s="196">
        <v>0</v>
      </c>
      <c r="G64" s="27">
        <v>0</v>
      </c>
    </row>
    <row r="65" spans="2:7" x14ac:dyDescent="0.25">
      <c r="G65" s="237"/>
    </row>
    <row r="66" spans="2:7" x14ac:dyDescent="0.25">
      <c r="B66" s="197"/>
      <c r="C66" s="198" t="s">
        <v>261</v>
      </c>
      <c r="D66" s="199">
        <f>D50+D52</f>
        <v>0</v>
      </c>
      <c r="E66" s="199">
        <f>E43+E45</f>
        <v>0</v>
      </c>
      <c r="F66" s="199">
        <f>F43+F45+F52</f>
        <v>0</v>
      </c>
      <c r="G66" s="29"/>
    </row>
  </sheetData>
  <mergeCells count="5">
    <mergeCell ref="B2:G2"/>
    <mergeCell ref="B9:C9"/>
    <mergeCell ref="B16:C16"/>
    <mergeCell ref="B23:C23"/>
    <mergeCell ref="B64:C64"/>
  </mergeCells>
  <pageMargins left="0.7" right="0.7" top="0.75" bottom="0.75" header="0.3" footer="0.3"/>
  <pageSetup paperSize="9" scale="9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6"/>
  <sheetViews>
    <sheetView topLeftCell="A49" zoomScaleNormal="100" workbookViewId="0">
      <selection activeCell="F9" sqref="F9"/>
    </sheetView>
  </sheetViews>
  <sheetFormatPr defaultColWidth="9.140625" defaultRowHeight="12.75" x14ac:dyDescent="0.25"/>
  <cols>
    <col min="1" max="1" width="9.140625" style="1"/>
    <col min="2" max="2" width="15" style="1" customWidth="1"/>
    <col min="3" max="3" width="61" style="4" customWidth="1"/>
    <col min="4" max="6" width="16.85546875" style="5" customWidth="1"/>
    <col min="7" max="7" width="12" style="307" customWidth="1"/>
    <col min="8" max="8" width="10.28515625" style="1" bestFit="1" customWidth="1"/>
    <col min="9" max="16384" width="9.140625" style="1"/>
  </cols>
  <sheetData>
    <row r="2" spans="2:8" ht="43.5" customHeight="1" x14ac:dyDescent="0.25">
      <c r="B2" s="362" t="s">
        <v>399</v>
      </c>
      <c r="C2" s="363"/>
      <c r="D2" s="363"/>
      <c r="E2" s="363"/>
      <c r="F2" s="363"/>
      <c r="G2" s="363"/>
    </row>
    <row r="4" spans="2:8" ht="38.25" customHeight="1" x14ac:dyDescent="0.25">
      <c r="B4" s="31" t="s">
        <v>0</v>
      </c>
      <c r="C4" s="31" t="s">
        <v>1</v>
      </c>
      <c r="D4" s="32" t="s">
        <v>327</v>
      </c>
      <c r="E4" s="32" t="s">
        <v>351</v>
      </c>
      <c r="F4" s="32" t="s">
        <v>382</v>
      </c>
      <c r="G4" s="306" t="s">
        <v>392</v>
      </c>
    </row>
    <row r="5" spans="2:8" x14ac:dyDescent="0.25">
      <c r="B5" s="1">
        <v>1</v>
      </c>
      <c r="C5" s="1">
        <v>2</v>
      </c>
      <c r="D5" s="2">
        <v>3</v>
      </c>
      <c r="E5" s="2">
        <v>4</v>
      </c>
      <c r="F5" s="2">
        <v>5</v>
      </c>
      <c r="G5" s="307">
        <v>6</v>
      </c>
    </row>
    <row r="6" spans="2:8" ht="14.25" x14ac:dyDescent="0.25">
      <c r="B6" s="364" t="s">
        <v>2</v>
      </c>
      <c r="C6" s="364"/>
      <c r="D6" s="3">
        <f>D8+D11+D14+D15</f>
        <v>2111298</v>
      </c>
      <c r="E6" s="3">
        <f>E8+E11+E14+E15</f>
        <v>2271128</v>
      </c>
      <c r="F6" s="3">
        <f>F8+F11+F13+F15</f>
        <v>2570500</v>
      </c>
      <c r="G6" s="308">
        <f>F6/E6*100</f>
        <v>113.18164365900998</v>
      </c>
    </row>
    <row r="7" spans="2:8" ht="14.25" x14ac:dyDescent="0.25">
      <c r="C7" s="4" t="s">
        <v>3</v>
      </c>
      <c r="D7" s="33"/>
      <c r="E7" s="33"/>
      <c r="F7" s="33"/>
    </row>
    <row r="8" spans="2:8" ht="14.25" x14ac:dyDescent="0.25">
      <c r="B8" s="1">
        <v>713</v>
      </c>
      <c r="C8" s="4" t="s">
        <v>4</v>
      </c>
      <c r="D8" s="34">
        <f>D9+D10</f>
        <v>311000</v>
      </c>
      <c r="E8" s="34">
        <f>E9+E10</f>
        <v>212000</v>
      </c>
      <c r="F8" s="34">
        <f>F9+F10</f>
        <v>345000</v>
      </c>
      <c r="G8" s="315">
        <f>F8/E8*100</f>
        <v>162.73584905660377</v>
      </c>
    </row>
    <row r="9" spans="2:8" s="8" customFormat="1" ht="14.25" x14ac:dyDescent="0.25">
      <c r="B9" s="1"/>
      <c r="C9" s="8" t="s">
        <v>5</v>
      </c>
      <c r="D9" s="33">
        <v>11000</v>
      </c>
      <c r="E9" s="33">
        <v>12000</v>
      </c>
      <c r="F9" s="33">
        <v>17000</v>
      </c>
      <c r="G9" s="315">
        <f t="shared" ref="G9:G15" si="0">F9/E9*100</f>
        <v>141.66666666666669</v>
      </c>
    </row>
    <row r="10" spans="2:8" s="8" customFormat="1" ht="14.25" x14ac:dyDescent="0.25">
      <c r="B10" s="1"/>
      <c r="C10" s="8" t="s">
        <v>6</v>
      </c>
      <c r="D10" s="33">
        <v>300000</v>
      </c>
      <c r="E10" s="33">
        <v>200000</v>
      </c>
      <c r="F10" s="33">
        <v>328000</v>
      </c>
      <c r="G10" s="315">
        <f t="shared" si="0"/>
        <v>164</v>
      </c>
    </row>
    <row r="11" spans="2:8" s="4" customFormat="1" ht="14.25" x14ac:dyDescent="0.25">
      <c r="B11" s="1">
        <v>714</v>
      </c>
      <c r="C11" s="4" t="s">
        <v>7</v>
      </c>
      <c r="D11" s="34">
        <f>D12</f>
        <v>31000</v>
      </c>
      <c r="E11" s="34">
        <f>E12</f>
        <v>35000</v>
      </c>
      <c r="F11" s="34">
        <f>F12</f>
        <v>45000</v>
      </c>
      <c r="G11" s="315">
        <f t="shared" si="0"/>
        <v>128.57142857142858</v>
      </c>
    </row>
    <row r="12" spans="2:8" s="9" customFormat="1" ht="14.25" x14ac:dyDescent="0.25">
      <c r="B12" s="1"/>
      <c r="C12" s="8" t="s">
        <v>8</v>
      </c>
      <c r="D12" s="33">
        <v>31000</v>
      </c>
      <c r="E12" s="33">
        <v>35000</v>
      </c>
      <c r="F12" s="33">
        <v>45000</v>
      </c>
      <c r="G12" s="315">
        <f t="shared" si="0"/>
        <v>128.57142857142858</v>
      </c>
    </row>
    <row r="13" spans="2:8" ht="14.25" x14ac:dyDescent="0.25">
      <c r="B13" s="1">
        <v>717</v>
      </c>
      <c r="C13" s="4" t="s">
        <v>9</v>
      </c>
      <c r="D13" s="6">
        <f>D14</f>
        <v>1768798</v>
      </c>
      <c r="E13" s="6">
        <f>E14</f>
        <v>2023628</v>
      </c>
      <c r="F13" s="6">
        <f>F14</f>
        <v>2180000</v>
      </c>
      <c r="G13" s="315">
        <f t="shared" si="0"/>
        <v>107.72730956480143</v>
      </c>
    </row>
    <row r="14" spans="2:8" s="9" customFormat="1" ht="25.5" x14ac:dyDescent="0.25">
      <c r="B14" s="1"/>
      <c r="C14" s="8" t="s">
        <v>10</v>
      </c>
      <c r="D14" s="157">
        <v>1768798</v>
      </c>
      <c r="E14" s="157">
        <f>2023481+147</f>
        <v>2023628</v>
      </c>
      <c r="F14" s="157">
        <v>2180000</v>
      </c>
      <c r="G14" s="315">
        <f t="shared" si="0"/>
        <v>107.72730956480143</v>
      </c>
    </row>
    <row r="15" spans="2:8" ht="14.25" x14ac:dyDescent="0.25">
      <c r="B15" s="1">
        <v>719</v>
      </c>
      <c r="C15" s="4" t="s">
        <v>11</v>
      </c>
      <c r="D15" s="34">
        <v>500</v>
      </c>
      <c r="E15" s="34">
        <v>500</v>
      </c>
      <c r="F15" s="34">
        <v>500</v>
      </c>
      <c r="G15" s="315">
        <f t="shared" si="0"/>
        <v>100</v>
      </c>
      <c r="H15" s="2"/>
    </row>
    <row r="16" spans="2:8" s="9" customFormat="1" ht="14.25" x14ac:dyDescent="0.25">
      <c r="C16" s="8"/>
      <c r="D16" s="33"/>
      <c r="E16" s="33"/>
      <c r="F16" s="33"/>
      <c r="G16" s="309"/>
    </row>
    <row r="17" spans="2:7" s="9" customFormat="1" ht="14.25" x14ac:dyDescent="0.25">
      <c r="B17" s="364" t="s">
        <v>12</v>
      </c>
      <c r="C17" s="364"/>
      <c r="D17" s="3">
        <f>D19+D21+D44</f>
        <v>6670500</v>
      </c>
      <c r="E17" s="3">
        <f>E19+E21+E44</f>
        <v>6899700</v>
      </c>
      <c r="F17" s="3">
        <f>F19+F22+F23+F29+F42+F44</f>
        <v>7132789</v>
      </c>
      <c r="G17" s="310">
        <f>F17/E17*100</f>
        <v>103.37824832963751</v>
      </c>
    </row>
    <row r="18" spans="2:7" s="9" customFormat="1" ht="14.25" x14ac:dyDescent="0.25">
      <c r="C18" s="8"/>
      <c r="D18" s="33"/>
      <c r="E18" s="33"/>
      <c r="F18" s="33"/>
      <c r="G18" s="309"/>
    </row>
    <row r="19" spans="2:7" s="11" customFormat="1" ht="14.25" x14ac:dyDescent="0.25">
      <c r="B19" s="11">
        <v>721</v>
      </c>
      <c r="C19" s="12" t="s">
        <v>13</v>
      </c>
      <c r="D19" s="34">
        <f>D20</f>
        <v>6000</v>
      </c>
      <c r="E19" s="34">
        <f>E20</f>
        <v>7000</v>
      </c>
      <c r="F19" s="34">
        <f>F20</f>
        <v>14900</v>
      </c>
      <c r="G19" s="316">
        <f>F19/E19*100</f>
        <v>212.85714285714286</v>
      </c>
    </row>
    <row r="20" spans="2:7" s="9" customFormat="1" ht="14.25" x14ac:dyDescent="0.25">
      <c r="C20" s="8" t="s">
        <v>14</v>
      </c>
      <c r="D20" s="33">
        <v>6000</v>
      </c>
      <c r="E20" s="33">
        <v>7000</v>
      </c>
      <c r="F20" s="33">
        <v>14900</v>
      </c>
      <c r="G20" s="316">
        <f t="shared" ref="G20:G23" si="1">F20/E20*100</f>
        <v>212.85714285714286</v>
      </c>
    </row>
    <row r="21" spans="2:7" s="11" customFormat="1" ht="14.25" x14ac:dyDescent="0.25">
      <c r="B21" s="11">
        <v>722</v>
      </c>
      <c r="C21" s="12" t="s">
        <v>15</v>
      </c>
      <c r="D21" s="34">
        <f>D22+D23+D29+D42</f>
        <v>6664200</v>
      </c>
      <c r="E21" s="34">
        <f>E22+E23+E29+E42</f>
        <v>6892500</v>
      </c>
      <c r="F21" s="34">
        <f>F22+F23+F29+F42</f>
        <v>7117789</v>
      </c>
      <c r="G21" s="316">
        <f t="shared" si="1"/>
        <v>103.2686108088502</v>
      </c>
    </row>
    <row r="22" spans="2:7" s="13" customFormat="1" ht="14.25" x14ac:dyDescent="0.25">
      <c r="B22" s="13">
        <v>7221</v>
      </c>
      <c r="C22" s="14" t="s">
        <v>16</v>
      </c>
      <c r="D22" s="34">
        <v>35000</v>
      </c>
      <c r="E22" s="34">
        <v>35000</v>
      </c>
      <c r="F22" s="34">
        <v>18000</v>
      </c>
      <c r="G22" s="316">
        <f t="shared" si="1"/>
        <v>51.428571428571423</v>
      </c>
    </row>
    <row r="23" spans="2:7" s="13" customFormat="1" ht="14.25" x14ac:dyDescent="0.25">
      <c r="B23" s="13">
        <v>7223</v>
      </c>
      <c r="C23" s="14" t="s">
        <v>17</v>
      </c>
      <c r="D23" s="34">
        <v>17000</v>
      </c>
      <c r="E23" s="34">
        <v>25000</v>
      </c>
      <c r="F23" s="34">
        <v>25000</v>
      </c>
      <c r="G23" s="316">
        <f t="shared" si="1"/>
        <v>100</v>
      </c>
    </row>
    <row r="24" spans="2:7" s="9" customFormat="1" ht="14.25" x14ac:dyDescent="0.25">
      <c r="C24" s="8" t="s">
        <v>18</v>
      </c>
      <c r="D24" s="33"/>
      <c r="E24" s="33"/>
      <c r="F24" s="33"/>
      <c r="G24" s="316"/>
    </row>
    <row r="25" spans="2:7" s="9" customFormat="1" ht="14.25" x14ac:dyDescent="0.25">
      <c r="C25" s="8" t="s">
        <v>19</v>
      </c>
      <c r="D25" s="33"/>
      <c r="E25" s="33"/>
      <c r="F25" s="33"/>
      <c r="G25" s="316"/>
    </row>
    <row r="26" spans="2:7" s="9" customFormat="1" ht="14.25" x14ac:dyDescent="0.25">
      <c r="C26" s="8" t="s">
        <v>20</v>
      </c>
      <c r="D26" s="33"/>
      <c r="E26" s="33"/>
      <c r="F26" s="33"/>
      <c r="G26" s="316"/>
    </row>
    <row r="27" spans="2:7" s="9" customFormat="1" ht="14.25" x14ac:dyDescent="0.25">
      <c r="C27" s="8" t="s">
        <v>21</v>
      </c>
      <c r="D27" s="33"/>
      <c r="E27" s="33"/>
      <c r="F27" s="33"/>
      <c r="G27" s="316"/>
    </row>
    <row r="28" spans="2:7" s="9" customFormat="1" ht="14.25" x14ac:dyDescent="0.25">
      <c r="C28" s="8" t="s">
        <v>22</v>
      </c>
      <c r="D28" s="33"/>
      <c r="E28" s="33"/>
      <c r="F28" s="33"/>
      <c r="G28" s="316"/>
    </row>
    <row r="29" spans="2:7" s="13" customFormat="1" ht="14.25" x14ac:dyDescent="0.25">
      <c r="B29" s="13">
        <v>7224</v>
      </c>
      <c r="C29" s="14" t="s">
        <v>23</v>
      </c>
      <c r="D29" s="34">
        <f>D30+D31+D32+D33+D34+D35+D36+D37+D38+D39+D40+D41</f>
        <v>6611000</v>
      </c>
      <c r="E29" s="34">
        <f>E30+E31+E32+E33+E34+E35+E36+E37+E38+E39+E40+E41</f>
        <v>6832000</v>
      </c>
      <c r="F29" s="34">
        <f>F30+F31+F32+F33+F34+F35+F36+F37+F38+F39+F40+F41</f>
        <v>7073289</v>
      </c>
      <c r="G29" s="316">
        <f>F29/E29*100</f>
        <v>103.53174765807962</v>
      </c>
    </row>
    <row r="30" spans="2:7" s="9" customFormat="1" ht="14.25" x14ac:dyDescent="0.25">
      <c r="C30" s="8" t="s">
        <v>24</v>
      </c>
      <c r="D30" s="33">
        <v>0</v>
      </c>
      <c r="E30" s="33">
        <v>0</v>
      </c>
      <c r="F30" s="33">
        <v>0</v>
      </c>
      <c r="G30" s="316" t="e">
        <f t="shared" ref="G30:G45" si="2">F30/E30*100</f>
        <v>#DIV/0!</v>
      </c>
    </row>
    <row r="31" spans="2:7" s="9" customFormat="1" ht="14.25" x14ac:dyDescent="0.25">
      <c r="C31" s="8" t="s">
        <v>25</v>
      </c>
      <c r="D31" s="33">
        <v>0</v>
      </c>
      <c r="E31" s="33">
        <v>0</v>
      </c>
      <c r="F31" s="33">
        <v>0</v>
      </c>
      <c r="G31" s="316" t="e">
        <f t="shared" si="2"/>
        <v>#DIV/0!</v>
      </c>
    </row>
    <row r="32" spans="2:7" s="9" customFormat="1" ht="25.5" x14ac:dyDescent="0.25">
      <c r="C32" s="8" t="s">
        <v>26</v>
      </c>
      <c r="D32" s="33">
        <v>4000</v>
      </c>
      <c r="E32" s="33">
        <v>4000</v>
      </c>
      <c r="F32" s="33">
        <v>4000</v>
      </c>
      <c r="G32" s="316">
        <f t="shared" si="2"/>
        <v>100</v>
      </c>
    </row>
    <row r="33" spans="2:7" s="9" customFormat="1" ht="14.25" x14ac:dyDescent="0.25">
      <c r="C33" s="8" t="s">
        <v>27</v>
      </c>
      <c r="D33" s="33">
        <v>5000</v>
      </c>
      <c r="E33" s="33">
        <v>5000</v>
      </c>
      <c r="F33" s="33">
        <v>1000</v>
      </c>
      <c r="G33" s="316">
        <f t="shared" si="2"/>
        <v>20</v>
      </c>
    </row>
    <row r="34" spans="2:7" s="9" customFormat="1" ht="14.25" x14ac:dyDescent="0.25">
      <c r="C34" s="8" t="s">
        <v>28</v>
      </c>
      <c r="D34" s="33">
        <v>11000</v>
      </c>
      <c r="E34" s="33">
        <v>11000</v>
      </c>
      <c r="F34" s="33">
        <v>26000</v>
      </c>
      <c r="G34" s="316">
        <f t="shared" si="2"/>
        <v>236.36363636363637</v>
      </c>
    </row>
    <row r="35" spans="2:7" s="9" customFormat="1" ht="14.25" x14ac:dyDescent="0.25">
      <c r="C35" s="8" t="s">
        <v>29</v>
      </c>
      <c r="D35" s="33">
        <v>25000</v>
      </c>
      <c r="E35" s="33">
        <v>25000</v>
      </c>
      <c r="F35" s="33">
        <v>21000</v>
      </c>
      <c r="G35" s="316">
        <f t="shared" si="2"/>
        <v>84</v>
      </c>
    </row>
    <row r="36" spans="2:7" s="9" customFormat="1" ht="14.25" x14ac:dyDescent="0.25">
      <c r="C36" s="8" t="s">
        <v>30</v>
      </c>
      <c r="D36" s="33">
        <v>500</v>
      </c>
      <c r="E36" s="33">
        <v>500</v>
      </c>
      <c r="F36" s="33">
        <v>500</v>
      </c>
      <c r="G36" s="316">
        <f t="shared" si="2"/>
        <v>100</v>
      </c>
    </row>
    <row r="37" spans="2:7" s="9" customFormat="1" ht="14.25" x14ac:dyDescent="0.25">
      <c r="C37" s="8" t="s">
        <v>31</v>
      </c>
      <c r="D37" s="33">
        <v>25000</v>
      </c>
      <c r="E37" s="33">
        <v>25000</v>
      </c>
      <c r="F37" s="33">
        <v>50000</v>
      </c>
      <c r="G37" s="316">
        <f t="shared" si="2"/>
        <v>200</v>
      </c>
    </row>
    <row r="38" spans="2:7" s="9" customFormat="1" ht="14.25" x14ac:dyDescent="0.25">
      <c r="C38" s="8" t="s">
        <v>350</v>
      </c>
      <c r="D38" s="33">
        <v>5900000</v>
      </c>
      <c r="E38" s="33">
        <v>6600000</v>
      </c>
      <c r="F38" s="33">
        <f>6150000+180000+73289</f>
        <v>6403289</v>
      </c>
      <c r="G38" s="316">
        <f t="shared" si="2"/>
        <v>97.019530303030294</v>
      </c>
    </row>
    <row r="39" spans="2:7" s="9" customFormat="1" ht="14.25" x14ac:dyDescent="0.25">
      <c r="C39" s="8" t="s">
        <v>32</v>
      </c>
      <c r="D39" s="33">
        <v>500</v>
      </c>
      <c r="E39" s="33">
        <v>500</v>
      </c>
      <c r="F39" s="33">
        <v>500</v>
      </c>
      <c r="G39" s="316">
        <f t="shared" si="2"/>
        <v>100</v>
      </c>
    </row>
    <row r="40" spans="2:7" s="9" customFormat="1" ht="14.25" x14ac:dyDescent="0.25">
      <c r="C40" s="8" t="s">
        <v>33</v>
      </c>
      <c r="D40" s="33">
        <v>130000</v>
      </c>
      <c r="E40" s="33">
        <v>161000</v>
      </c>
      <c r="F40" s="33">
        <v>567000</v>
      </c>
      <c r="G40" s="316">
        <f t="shared" si="2"/>
        <v>352.17391304347825</v>
      </c>
    </row>
    <row r="41" spans="2:7" s="9" customFormat="1" ht="14.25" x14ac:dyDescent="0.25">
      <c r="C41" s="8" t="s">
        <v>34</v>
      </c>
      <c r="D41" s="33">
        <v>510000</v>
      </c>
      <c r="E41" s="33">
        <v>0</v>
      </c>
      <c r="F41" s="33">
        <v>0</v>
      </c>
      <c r="G41" s="316" t="e">
        <f t="shared" si="2"/>
        <v>#DIV/0!</v>
      </c>
    </row>
    <row r="42" spans="2:7" s="13" customFormat="1" ht="14.25" x14ac:dyDescent="0.25">
      <c r="B42" s="13">
        <v>7225</v>
      </c>
      <c r="C42" s="15" t="s">
        <v>35</v>
      </c>
      <c r="D42" s="34">
        <f>D43</f>
        <v>1200</v>
      </c>
      <c r="E42" s="34">
        <f>E43</f>
        <v>500</v>
      </c>
      <c r="F42" s="34">
        <f>F43</f>
        <v>1500</v>
      </c>
      <c r="G42" s="316">
        <f t="shared" si="2"/>
        <v>300</v>
      </c>
    </row>
    <row r="43" spans="2:7" s="9" customFormat="1" ht="14.25" x14ac:dyDescent="0.25">
      <c r="C43" s="8" t="s">
        <v>36</v>
      </c>
      <c r="D43" s="33">
        <v>1200</v>
      </c>
      <c r="E43" s="33">
        <v>500</v>
      </c>
      <c r="F43" s="33">
        <v>1500</v>
      </c>
      <c r="G43" s="316">
        <f t="shared" si="2"/>
        <v>300</v>
      </c>
    </row>
    <row r="44" spans="2:7" s="11" customFormat="1" ht="14.25" x14ac:dyDescent="0.25">
      <c r="B44" s="11">
        <v>723</v>
      </c>
      <c r="C44" s="12" t="s">
        <v>37</v>
      </c>
      <c r="D44" s="34">
        <f>D45</f>
        <v>300</v>
      </c>
      <c r="E44" s="34">
        <f>E45</f>
        <v>200</v>
      </c>
      <c r="F44" s="34">
        <f>F45</f>
        <v>100</v>
      </c>
      <c r="G44" s="316">
        <f t="shared" si="2"/>
        <v>50</v>
      </c>
    </row>
    <row r="45" spans="2:7" s="9" customFormat="1" ht="14.25" x14ac:dyDescent="0.25">
      <c r="C45" s="8" t="s">
        <v>38</v>
      </c>
      <c r="D45" s="33">
        <v>300</v>
      </c>
      <c r="E45" s="33">
        <v>200</v>
      </c>
      <c r="F45" s="33">
        <v>100</v>
      </c>
      <c r="G45" s="316">
        <f t="shared" si="2"/>
        <v>50</v>
      </c>
    </row>
    <row r="46" spans="2:7" s="9" customFormat="1" ht="14.25" x14ac:dyDescent="0.25">
      <c r="C46" s="8"/>
      <c r="D46" s="33"/>
      <c r="E46" s="33"/>
      <c r="F46" s="33"/>
      <c r="G46" s="309"/>
    </row>
    <row r="47" spans="2:7" s="9" customFormat="1" ht="14.25" x14ac:dyDescent="0.25">
      <c r="B47" s="364" t="s">
        <v>39</v>
      </c>
      <c r="C47" s="364"/>
      <c r="D47" s="3">
        <f>D49+D53</f>
        <v>160000</v>
      </c>
      <c r="E47" s="3">
        <f>E49+E53</f>
        <v>340000</v>
      </c>
      <c r="F47" s="3">
        <f>F49+F53</f>
        <v>257000</v>
      </c>
      <c r="G47" s="310">
        <f>F47/E47*100</f>
        <v>75.588235294117652</v>
      </c>
    </row>
    <row r="48" spans="2:7" s="9" customFormat="1" ht="14.25" x14ac:dyDescent="0.25">
      <c r="C48" s="8"/>
      <c r="D48" s="6"/>
      <c r="E48" s="6"/>
      <c r="F48" s="6"/>
      <c r="G48" s="309"/>
    </row>
    <row r="49" spans="2:7" s="9" customFormat="1" ht="15" customHeight="1" x14ac:dyDescent="0.25">
      <c r="B49" s="381" t="s">
        <v>40</v>
      </c>
      <c r="C49" s="381"/>
      <c r="D49" s="17">
        <f>D51:D51</f>
        <v>50000</v>
      </c>
      <c r="E49" s="17">
        <f>E51:G51</f>
        <v>200000</v>
      </c>
      <c r="F49" s="17">
        <f>F51</f>
        <v>100000</v>
      </c>
      <c r="G49" s="311">
        <f>F49/E49*100</f>
        <v>50</v>
      </c>
    </row>
    <row r="50" spans="2:7" s="9" customFormat="1" ht="14.25" x14ac:dyDescent="0.25">
      <c r="C50" s="8"/>
      <c r="D50" s="6"/>
      <c r="E50" s="6"/>
      <c r="F50" s="6"/>
      <c r="G50" s="309"/>
    </row>
    <row r="51" spans="2:7" ht="14.25" x14ac:dyDescent="0.25">
      <c r="B51" s="1">
        <v>731</v>
      </c>
      <c r="C51" s="4" t="s">
        <v>41</v>
      </c>
      <c r="D51" s="33">
        <v>50000</v>
      </c>
      <c r="E51" s="33">
        <f>75000+125000</f>
        <v>200000</v>
      </c>
      <c r="F51" s="33">
        <v>100000</v>
      </c>
      <c r="G51" s="307">
        <f>F51/E51*100</f>
        <v>50</v>
      </c>
    </row>
    <row r="52" spans="2:7" s="9" customFormat="1" ht="14.25" x14ac:dyDescent="0.25">
      <c r="C52" s="8"/>
      <c r="D52" s="6"/>
      <c r="E52" s="6"/>
      <c r="F52" s="6"/>
      <c r="G52" s="309"/>
    </row>
    <row r="53" spans="2:7" s="9" customFormat="1" ht="14.25" x14ac:dyDescent="0.25">
      <c r="B53" s="381" t="s">
        <v>42</v>
      </c>
      <c r="C53" s="381"/>
      <c r="D53" s="17">
        <f>D55</f>
        <v>110000</v>
      </c>
      <c r="E53" s="17">
        <f>E55</f>
        <v>140000</v>
      </c>
      <c r="F53" s="17">
        <f>F55</f>
        <v>157000</v>
      </c>
      <c r="G53" s="311">
        <f>F53/E53*100</f>
        <v>112.14285714285714</v>
      </c>
    </row>
    <row r="54" spans="2:7" s="9" customFormat="1" ht="14.25" x14ac:dyDescent="0.25">
      <c r="C54" s="8"/>
      <c r="D54" s="6"/>
      <c r="E54" s="6"/>
      <c r="F54" s="6"/>
      <c r="G54" s="309"/>
    </row>
    <row r="55" spans="2:7" s="9" customFormat="1" ht="25.5" x14ac:dyDescent="0.25">
      <c r="B55" s="1">
        <v>781</v>
      </c>
      <c r="C55" s="4" t="s">
        <v>43</v>
      </c>
      <c r="D55" s="33">
        <v>110000</v>
      </c>
      <c r="E55" s="33">
        <v>140000</v>
      </c>
      <c r="F55" s="33">
        <v>157000</v>
      </c>
      <c r="G55" s="309">
        <f>F55/E55*100</f>
        <v>112.14285714285714</v>
      </c>
    </row>
    <row r="56" spans="2:7" s="9" customFormat="1" ht="14.25" x14ac:dyDescent="0.25">
      <c r="C56" s="8"/>
      <c r="D56" s="6"/>
      <c r="E56" s="6"/>
      <c r="F56" s="6"/>
      <c r="G56" s="309"/>
    </row>
    <row r="57" spans="2:7" s="9" customFormat="1" ht="14.25" x14ac:dyDescent="0.25">
      <c r="B57" s="364" t="s">
        <v>44</v>
      </c>
      <c r="C57" s="364"/>
      <c r="D57" s="3">
        <f>D59</f>
        <v>50000</v>
      </c>
      <c r="E57" s="3">
        <f>E59</f>
        <v>0</v>
      </c>
      <c r="F57" s="3">
        <v>0</v>
      </c>
      <c r="G57" s="310">
        <v>0</v>
      </c>
    </row>
    <row r="58" spans="2:7" s="21" customFormat="1" ht="14.25" x14ac:dyDescent="0.25">
      <c r="B58" s="19"/>
      <c r="C58" s="19"/>
      <c r="D58" s="6"/>
      <c r="E58" s="6"/>
      <c r="F58" s="6"/>
      <c r="G58" s="312"/>
    </row>
    <row r="59" spans="2:7" s="21" customFormat="1" ht="14.25" x14ac:dyDescent="0.25">
      <c r="B59" s="22">
        <v>813</v>
      </c>
      <c r="C59" s="19" t="s">
        <v>45</v>
      </c>
      <c r="D59" s="6">
        <f>D60</f>
        <v>50000</v>
      </c>
      <c r="E59" s="6">
        <f>E60</f>
        <v>0</v>
      </c>
      <c r="F59" s="6">
        <v>0</v>
      </c>
      <c r="G59" s="312">
        <v>0</v>
      </c>
    </row>
    <row r="60" spans="2:7" s="21" customFormat="1" ht="14.25" x14ac:dyDescent="0.25">
      <c r="B60" s="19"/>
      <c r="C60" s="23" t="s">
        <v>176</v>
      </c>
      <c r="D60" s="33">
        <v>50000</v>
      </c>
      <c r="E60" s="33">
        <v>0</v>
      </c>
      <c r="F60" s="33">
        <v>0</v>
      </c>
      <c r="G60" s="312">
        <v>0</v>
      </c>
    </row>
    <row r="61" spans="2:7" s="21" customFormat="1" ht="14.25" x14ac:dyDescent="0.25">
      <c r="B61" s="19"/>
      <c r="C61" s="19"/>
      <c r="D61" s="6"/>
      <c r="E61" s="6"/>
      <c r="F61" s="6"/>
      <c r="G61" s="312"/>
    </row>
    <row r="62" spans="2:7" s="21" customFormat="1" ht="14.25" x14ac:dyDescent="0.25">
      <c r="B62" s="379" t="s">
        <v>393</v>
      </c>
      <c r="C62" s="379"/>
      <c r="D62" s="26">
        <v>0</v>
      </c>
      <c r="E62" s="26">
        <v>0</v>
      </c>
      <c r="F62" s="26">
        <v>0</v>
      </c>
      <c r="G62" s="313">
        <v>0</v>
      </c>
    </row>
    <row r="63" spans="2:7" s="9" customFormat="1" ht="14.25" x14ac:dyDescent="0.25">
      <c r="C63" s="8"/>
      <c r="D63" s="6"/>
      <c r="E63" s="6"/>
      <c r="F63" s="6"/>
      <c r="G63" s="309"/>
    </row>
    <row r="64" spans="2:7" s="30" customFormat="1" ht="15.75" x14ac:dyDescent="0.25">
      <c r="B64" s="380" t="s">
        <v>46</v>
      </c>
      <c r="C64" s="380"/>
      <c r="D64" s="28">
        <f>D57+D47+D17+D6</f>
        <v>8991798</v>
      </c>
      <c r="E64" s="28">
        <f>E57+E47+E17+E6</f>
        <v>9510828</v>
      </c>
      <c r="F64" s="28">
        <f>F47+F17+F6</f>
        <v>9960289</v>
      </c>
      <c r="G64" s="314">
        <f>F64/E64*100</f>
        <v>104.72578202444625</v>
      </c>
    </row>
    <row r="65" spans="3:7" s="9" customFormat="1" x14ac:dyDescent="0.25">
      <c r="C65" s="8"/>
      <c r="D65" s="7"/>
      <c r="E65" s="7"/>
      <c r="F65" s="7"/>
      <c r="G65" s="309"/>
    </row>
    <row r="66" spans="3:7" s="9" customFormat="1" x14ac:dyDescent="0.25">
      <c r="C66" s="8"/>
      <c r="D66" s="7"/>
      <c r="E66" s="7"/>
      <c r="F66" s="7"/>
      <c r="G66" s="309"/>
    </row>
    <row r="67" spans="3:7" s="9" customFormat="1" x14ac:dyDescent="0.25">
      <c r="C67" s="8"/>
      <c r="D67" s="7"/>
      <c r="E67" s="7"/>
      <c r="F67" s="7"/>
      <c r="G67" s="309"/>
    </row>
    <row r="68" spans="3:7" s="9" customFormat="1" x14ac:dyDescent="0.25">
      <c r="C68" s="8"/>
      <c r="D68" s="7"/>
      <c r="E68" s="7"/>
      <c r="F68" s="7"/>
      <c r="G68" s="309"/>
    </row>
    <row r="69" spans="3:7" s="9" customFormat="1" x14ac:dyDescent="0.25">
      <c r="C69" s="8"/>
      <c r="D69" s="7"/>
      <c r="E69" s="7"/>
      <c r="F69" s="7"/>
      <c r="G69" s="309"/>
    </row>
    <row r="70" spans="3:7" s="9" customFormat="1" x14ac:dyDescent="0.25">
      <c r="C70" s="8"/>
      <c r="D70" s="7"/>
      <c r="E70" s="7"/>
      <c r="F70" s="7"/>
      <c r="G70" s="309"/>
    </row>
    <row r="71" spans="3:7" s="9" customFormat="1" x14ac:dyDescent="0.25">
      <c r="C71" s="8"/>
      <c r="D71" s="7"/>
      <c r="E71" s="7"/>
      <c r="F71" s="7"/>
      <c r="G71" s="309"/>
    </row>
    <row r="72" spans="3:7" s="9" customFormat="1" x14ac:dyDescent="0.25">
      <c r="C72" s="8"/>
      <c r="D72" s="7"/>
      <c r="E72" s="7"/>
      <c r="F72" s="7"/>
      <c r="G72" s="309"/>
    </row>
    <row r="73" spans="3:7" s="9" customFormat="1" x14ac:dyDescent="0.25">
      <c r="C73" s="8"/>
      <c r="D73" s="7"/>
      <c r="E73" s="7"/>
      <c r="F73" s="7"/>
      <c r="G73" s="309"/>
    </row>
    <row r="74" spans="3:7" s="9" customFormat="1" x14ac:dyDescent="0.25">
      <c r="C74" s="8"/>
      <c r="D74" s="7"/>
      <c r="E74" s="7"/>
      <c r="F74" s="7"/>
      <c r="G74" s="309"/>
    </row>
    <row r="75" spans="3:7" s="9" customFormat="1" x14ac:dyDescent="0.25">
      <c r="C75" s="8"/>
      <c r="D75" s="7"/>
      <c r="E75" s="7"/>
      <c r="F75" s="7"/>
      <c r="G75" s="309"/>
    </row>
    <row r="76" spans="3:7" s="9" customFormat="1" x14ac:dyDescent="0.25">
      <c r="C76" s="8"/>
      <c r="D76" s="7"/>
      <c r="E76" s="7"/>
      <c r="F76" s="7"/>
      <c r="G76" s="309"/>
    </row>
  </sheetData>
  <mergeCells count="9">
    <mergeCell ref="B2:G2"/>
    <mergeCell ref="B57:C57"/>
    <mergeCell ref="B62:C62"/>
    <mergeCell ref="B64:C64"/>
    <mergeCell ref="B6:C6"/>
    <mergeCell ref="B17:C17"/>
    <mergeCell ref="B47:C47"/>
    <mergeCell ref="B49:C49"/>
    <mergeCell ref="B53:C53"/>
  </mergeCells>
  <pageMargins left="0.25" right="0.25" top="0.75" bottom="0.75" header="0.3" footer="0.3"/>
  <pageSetup paperSize="9" scale="90" orientation="landscape" r:id="rId1"/>
  <rowBreaks count="1" manualBreakCount="1">
    <brk id="3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9"/>
  <sheetViews>
    <sheetView workbookViewId="0">
      <selection activeCell="G17" sqref="G17"/>
    </sheetView>
  </sheetViews>
  <sheetFormatPr defaultColWidth="9.140625" defaultRowHeight="12.75" x14ac:dyDescent="0.25"/>
  <cols>
    <col min="1" max="1" width="9.140625" style="1"/>
    <col min="2" max="2" width="15" style="1" customWidth="1"/>
    <col min="3" max="3" width="52.5703125" style="4" customWidth="1"/>
    <col min="4" max="6" width="16.85546875" style="5" customWidth="1"/>
    <col min="7" max="7" width="18.28515625" style="5" customWidth="1"/>
    <col min="8" max="9" width="9.140625" style="1"/>
    <col min="10" max="10" width="10.28515625" style="1" bestFit="1" customWidth="1"/>
    <col min="11" max="16384" width="9.140625" style="1"/>
  </cols>
  <sheetData>
    <row r="1" spans="2:10" ht="13.5" thickBot="1" x14ac:dyDescent="0.3"/>
    <row r="2" spans="2:10" ht="43.5" customHeight="1" thickBot="1" x14ac:dyDescent="0.3">
      <c r="B2" s="382" t="s">
        <v>389</v>
      </c>
      <c r="C2" s="383"/>
      <c r="D2" s="383"/>
      <c r="E2" s="383"/>
      <c r="F2" s="383"/>
      <c r="G2" s="384"/>
    </row>
    <row r="4" spans="2:10" ht="38.25" x14ac:dyDescent="0.25">
      <c r="B4" s="162" t="s">
        <v>0</v>
      </c>
      <c r="C4" s="162" t="s">
        <v>1</v>
      </c>
      <c r="D4" s="200" t="s">
        <v>345</v>
      </c>
      <c r="E4" s="200" t="s">
        <v>352</v>
      </c>
      <c r="F4" s="200" t="s">
        <v>390</v>
      </c>
      <c r="G4" s="163" t="s">
        <v>391</v>
      </c>
    </row>
    <row r="5" spans="2:10" x14ac:dyDescent="0.25">
      <c r="B5" s="1">
        <v>1</v>
      </c>
      <c r="C5" s="1">
        <v>2</v>
      </c>
      <c r="D5" s="2">
        <v>3</v>
      </c>
      <c r="E5" s="2">
        <v>4</v>
      </c>
      <c r="F5" s="2">
        <v>5</v>
      </c>
      <c r="G5" s="2">
        <v>6</v>
      </c>
    </row>
    <row r="6" spans="2:10" x14ac:dyDescent="0.25">
      <c r="C6" s="1"/>
      <c r="D6" s="2"/>
      <c r="E6" s="2"/>
      <c r="F6" s="2"/>
      <c r="G6" s="2"/>
    </row>
    <row r="7" spans="2:10" s="11" customFormat="1" ht="14.25" customHeight="1" x14ac:dyDescent="0.25">
      <c r="B7" s="201">
        <v>41</v>
      </c>
      <c r="C7" s="202" t="s">
        <v>243</v>
      </c>
      <c r="D7" s="3">
        <f>D9+D16+D29+D34+D40+D44+D48</f>
        <v>5838798</v>
      </c>
      <c r="E7" s="3">
        <f>E9+E16+E29+E34+E40+E44+E48</f>
        <v>5297828</v>
      </c>
      <c r="F7" s="3">
        <f>F9+F16+F29+F34+F40+F44+F48+F50</f>
        <v>6537210</v>
      </c>
      <c r="G7" s="10">
        <f>F7/E7*100</f>
        <v>123.39415322656757</v>
      </c>
    </row>
    <row r="8" spans="2:10" x14ac:dyDescent="0.25">
      <c r="G8" s="7"/>
    </row>
    <row r="9" spans="2:10" ht="14.25" x14ac:dyDescent="0.25">
      <c r="B9" s="173">
        <v>411</v>
      </c>
      <c r="C9" s="203" t="s">
        <v>262</v>
      </c>
      <c r="D9" s="204">
        <f>D11+D12</f>
        <v>1012028</v>
      </c>
      <c r="E9" s="204">
        <f>E11+E12+E13+E14</f>
        <v>1075028</v>
      </c>
      <c r="F9" s="204">
        <f>F11+F12+F13+F14</f>
        <v>1571077</v>
      </c>
      <c r="G9" s="176">
        <f>F9/E9*100</f>
        <v>146.14289116190463</v>
      </c>
    </row>
    <row r="10" spans="2:10" s="8" customFormat="1" x14ac:dyDescent="0.25">
      <c r="B10" s="1"/>
      <c r="D10" s="7"/>
      <c r="E10" s="7"/>
      <c r="F10" s="7"/>
      <c r="G10" s="7"/>
    </row>
    <row r="11" spans="2:10" s="8" customFormat="1" x14ac:dyDescent="0.25">
      <c r="B11" s="1">
        <v>411100</v>
      </c>
      <c r="C11" s="14" t="s">
        <v>263</v>
      </c>
      <c r="D11" s="5">
        <v>882751</v>
      </c>
      <c r="E11" s="5">
        <f>'ОРГАНИЗАЦИОНА 2019 6'!E100</f>
        <v>960000</v>
      </c>
      <c r="F11" s="5">
        <f>'ОРГАНИЗАЦИОНА 2019 6'!G100+'ОРГАНИЗАЦИОНА 2019 6'!G320+'ОРГАНИЗАЦИОНА 2019 6'!G298+'ОРГАНИЗАЦИОНА 2019 6'!G281</f>
        <v>1384057</v>
      </c>
      <c r="G11" s="7">
        <f>F11/E11*100</f>
        <v>144.17260416666667</v>
      </c>
    </row>
    <row r="12" spans="2:10" x14ac:dyDescent="0.25">
      <c r="B12" s="1">
        <v>411200</v>
      </c>
      <c r="C12" s="14" t="s">
        <v>264</v>
      </c>
      <c r="D12" s="5">
        <v>129277</v>
      </c>
      <c r="E12" s="5">
        <f>'ОРГАНИЗАЦИОНА 2019 6'!E101</f>
        <v>110000</v>
      </c>
      <c r="F12" s="5">
        <f>'ОРГАНИЗАЦИОНА 2019 6'!G101:G101+'ОРГАНИЗАЦИОНА 2019 6'!G282+'ОРГАНИЗАЦИОНА 2019 6'!G299+'ОРГАНИЗАЦИОНА 2019 6'!G321</f>
        <v>156320</v>
      </c>
      <c r="G12" s="7">
        <f t="shared" ref="G12:G14" si="0">F12/E12*100</f>
        <v>142.10909090909092</v>
      </c>
    </row>
    <row r="13" spans="2:10" ht="25.5" x14ac:dyDescent="0.25">
      <c r="B13" s="1">
        <v>412300</v>
      </c>
      <c r="C13" s="4" t="s">
        <v>356</v>
      </c>
      <c r="D13" s="5">
        <v>0</v>
      </c>
      <c r="E13" s="5">
        <f>'ОРГАНИЗАЦИОНА 2019 6'!E102</f>
        <v>2100</v>
      </c>
      <c r="F13" s="5">
        <f>'ОРГАНИЗАЦИОНА 2019 6'!G102+'ОРГАНИЗАЦИОНА 2019 6'!G283+'ОРГАНИЗАЦИОНА 2019 6'!G300+'ОРГАНИЗАЦИОНА 2019 6'!G322</f>
        <v>8500</v>
      </c>
      <c r="G13" s="7">
        <f t="shared" si="0"/>
        <v>404.76190476190476</v>
      </c>
      <c r="J13" s="2"/>
    </row>
    <row r="14" spans="2:10" x14ac:dyDescent="0.25">
      <c r="B14" s="1">
        <v>412400</v>
      </c>
      <c r="C14" s="4" t="s">
        <v>357</v>
      </c>
      <c r="D14" s="5">
        <v>0</v>
      </c>
      <c r="E14" s="5">
        <f>'ОРГАНИЗАЦИОНА 2019 6'!E103</f>
        <v>2928</v>
      </c>
      <c r="F14" s="5">
        <f>'ОРГАНИЗАЦИОНА 2019 6'!G103+'ОРГАНИЗАЦИОНА 2019 6'!G323+'ОРГАНИЗАЦИОНА 2019 6'!G301+'ОРГАНИЗАЦИОНА 2019 6'!G284</f>
        <v>22200</v>
      </c>
      <c r="G14" s="7">
        <f t="shared" si="0"/>
        <v>758.19672131147536</v>
      </c>
      <c r="J14" s="2"/>
    </row>
    <row r="15" spans="2:10" x14ac:dyDescent="0.25">
      <c r="C15" s="8"/>
      <c r="G15" s="7"/>
      <c r="J15" s="2"/>
    </row>
    <row r="16" spans="2:10" x14ac:dyDescent="0.25">
      <c r="B16" s="173">
        <v>412</v>
      </c>
      <c r="C16" s="174" t="s">
        <v>265</v>
      </c>
      <c r="D16" s="175">
        <f>D18+D19+D20+D21+D22+D23+D24+D25+D26</f>
        <v>1663870</v>
      </c>
      <c r="E16" s="175">
        <f>SUM(E18:E26)</f>
        <v>1483300</v>
      </c>
      <c r="F16" s="175">
        <f>F18+F19+F20+F21+F23+F22+F24+F25+F26</f>
        <v>1824490</v>
      </c>
      <c r="G16" s="176">
        <f>F16/E16*100</f>
        <v>123.00208993460527</v>
      </c>
      <c r="J16" s="2"/>
    </row>
    <row r="17" spans="2:10" x14ac:dyDescent="0.25">
      <c r="C17" s="8"/>
      <c r="G17" s="7"/>
      <c r="J17" s="2"/>
    </row>
    <row r="18" spans="2:10" x14ac:dyDescent="0.25">
      <c r="B18" s="1">
        <v>412100</v>
      </c>
      <c r="C18" s="14" t="s">
        <v>51</v>
      </c>
      <c r="D18" s="5">
        <v>178000</v>
      </c>
      <c r="E18" s="5">
        <f>'ОРГАНИЗАЦИОНА 2019 6'!E8+'ОРГАНИЗАЦИОНА 2019 6'!E105</f>
        <v>178000</v>
      </c>
      <c r="F18" s="5">
        <f>'ОРГАНИЗАЦИОНА 2019 6'!G8+'ОРГАНИЗАЦИОНА 2019 6'!G105+'ОРГАНИЗАЦИОНА 2019 6'!G303+'ОРГАНИЗАЦИОНА 2019 6'!G325</f>
        <v>183220</v>
      </c>
      <c r="G18" s="7">
        <f>F18/E18*100</f>
        <v>102.93258426966293</v>
      </c>
      <c r="J18" s="2"/>
    </row>
    <row r="19" spans="2:10" ht="25.5" x14ac:dyDescent="0.25">
      <c r="B19" s="1">
        <v>412200</v>
      </c>
      <c r="C19" s="14" t="s">
        <v>266</v>
      </c>
      <c r="D19" s="5">
        <v>97070</v>
      </c>
      <c r="E19" s="5">
        <f>'ОРГАНИЗАЦИОНА 2019 6'!E35+'ОРГАНИЗАЦИОНА 2019 6'!E107+'ОРГАНИЗАЦИОНА 2019 6'!E236</f>
        <v>102000</v>
      </c>
      <c r="F19" s="5">
        <f>'ОРГАНИЗАЦИОНА 2019 6'!G35+'ОРГАНИЗАЦИОНА 2019 6'!G236+'ОРГАНИЗАЦИОНА 2019 6'!G304+'ОРГАНИЗАЦИОНА 2019 6'!G326</f>
        <v>109930</v>
      </c>
      <c r="G19" s="7">
        <f t="shared" ref="G19:G26" si="1">F19/E19*100</f>
        <v>107.77450980392156</v>
      </c>
      <c r="J19" s="2"/>
    </row>
    <row r="20" spans="2:10" x14ac:dyDescent="0.25">
      <c r="B20" s="1">
        <v>412300</v>
      </c>
      <c r="C20" s="14" t="s">
        <v>267</v>
      </c>
      <c r="D20" s="5">
        <v>32300</v>
      </c>
      <c r="E20" s="5">
        <f>'ОРГАНИЗАЦИОНА 2019 6'!E10+'ОРГАНИЗАЦИОНА 2019 6'!E42+'ОРГАНИЗАЦИОНА 2019 6'!E106+'ОРГАНИЗАЦИОНА 2019 6'!E108</f>
        <v>32300</v>
      </c>
      <c r="F20" s="5">
        <f>'ОРГАНИЗАЦИОНА 2019 6'!G10+'ОРГАНИЗАЦИОНА 2019 6'!G42+'ОРГАНИЗАЦИОНА 2019 6'!G106+'ОРГАНИЗАЦИОНА 2019 6'!G108+'ОРГАНИЗАЦИОНА 2019 6'!G287+'ОРГАНИЗАЦИОНА 2019 6'!G305+'ОРГАНИЗАЦИОНА 2019 6'!G327</f>
        <v>33000</v>
      </c>
      <c r="G20" s="7">
        <f t="shared" si="1"/>
        <v>102.16718266253871</v>
      </c>
      <c r="J20" s="2"/>
    </row>
    <row r="21" spans="2:10" x14ac:dyDescent="0.25">
      <c r="B21" s="1">
        <v>412400</v>
      </c>
      <c r="C21" s="14" t="s">
        <v>268</v>
      </c>
      <c r="D21" s="5">
        <v>2000</v>
      </c>
      <c r="E21" s="5">
        <f>'ОРГАНИЗАЦИОНА 2019 6'!E90</f>
        <v>2000</v>
      </c>
      <c r="F21" s="5">
        <v>0</v>
      </c>
      <c r="G21" s="7">
        <f t="shared" si="1"/>
        <v>0</v>
      </c>
      <c r="J21" s="2"/>
    </row>
    <row r="22" spans="2:10" x14ac:dyDescent="0.25">
      <c r="B22" s="1">
        <v>412500</v>
      </c>
      <c r="C22" s="14" t="s">
        <v>269</v>
      </c>
      <c r="D22" s="5">
        <v>254000</v>
      </c>
      <c r="E22" s="5">
        <f>'ОРГАНИЗАЦИОНА 2019 6'!E45+'ОРГАНИЗАЦИОНА 2019 6'!E238</f>
        <v>182000</v>
      </c>
      <c r="F22" s="5">
        <f>'ОРГАНИЗАЦИОНА 2019 6'!G45+'ОРГАНИЗАЦИОНА 2019 6'!G238</f>
        <v>283000</v>
      </c>
      <c r="G22" s="7">
        <f t="shared" si="1"/>
        <v>155.49450549450549</v>
      </c>
      <c r="J22" s="2"/>
    </row>
    <row r="23" spans="2:10" x14ac:dyDescent="0.25">
      <c r="B23" s="1">
        <v>412600</v>
      </c>
      <c r="C23" s="14" t="s">
        <v>54</v>
      </c>
      <c r="D23" s="5">
        <v>29500</v>
      </c>
      <c r="E23" s="5">
        <f>'ОРГАНИЗАЦИОНА 2019 6'!E12+'ОРГАНИЗАЦИОНА 2019 6'!E47+'ОРГАНИЗАЦИОНА 2019 6'!E81+'ОРГАНИЗАЦИОНА 2019 6'!E91</f>
        <v>31500</v>
      </c>
      <c r="F23" s="5">
        <f>'ОРГАНИЗАЦИОНА 2019 6'!G12+'ОРГАНИЗАЦИОНА 2019 6'!G47+'ОРГАНИЗАЦИОНА 2019 6'!G288+'ОРГАНИЗАЦИОНА 2019 6'!G306+'ОРГАНИЗАЦИОНА 2019 6'!G328</f>
        <v>32500</v>
      </c>
      <c r="G23" s="7">
        <f t="shared" si="1"/>
        <v>103.17460317460319</v>
      </c>
      <c r="J23" s="2"/>
    </row>
    <row r="24" spans="2:10" x14ac:dyDescent="0.25">
      <c r="B24" s="1">
        <v>412700</v>
      </c>
      <c r="C24" s="14" t="s">
        <v>82</v>
      </c>
      <c r="D24" s="5">
        <v>326000</v>
      </c>
      <c r="E24" s="5">
        <f>'ОРГАНИЗАЦИОНА 2019 6'!E244+'ОРГАНИЗАЦИОНА 2019 6'!E222+'ОРГАНИЗАЦИОНА 2019 6'!E109+'ОРГАНИЗАЦИОНА 2019 6'!E92+'ОРГАНИЗАЦИОНА 2019 6'!E82+'ОРГАНИЗАЦИОНА 2019 6'!E49+'ОРГАНИЗАЦИОНА 2019 6'!E15+'ОРГАНИЗАЦИОНА 2019 6'!E156</f>
        <v>379000</v>
      </c>
      <c r="F24" s="5">
        <f>'ОРГАНИЗАЦИОНА 2019 6'!G15+'ОРГАНИЗАЦИОНА 2019 6'!G49+'ОРГАНИЗАЦИОНА 2019 6'!G107+'ОРГАНИЗАЦИОНА 2019 6'!G109+'ОРГАНИЗАЦИОНА 2019 6'!G155+'ОРГАНИЗАЦИОНА 2019 6'!G222+'ОРГАНИЗАЦИОНА 2019 6'!G244+'ОРГАНИЗАЦИОНА 2019 6'!G289+'ОРГАНИЗАЦИОНА 2019 6'!G307+'ОРГАНИЗАЦИОНА 2019 6'!G329</f>
        <v>396900</v>
      </c>
      <c r="G24" s="7">
        <f t="shared" si="1"/>
        <v>104.72295514511873</v>
      </c>
      <c r="J24" s="2"/>
    </row>
    <row r="25" spans="2:10" x14ac:dyDescent="0.25">
      <c r="B25" s="1">
        <v>412800</v>
      </c>
      <c r="C25" s="14" t="s">
        <v>270</v>
      </c>
      <c r="D25" s="5">
        <v>372000</v>
      </c>
      <c r="E25" s="5">
        <f>'ОРГАНИЗАЦИОНА 2019 6'!E247</f>
        <v>268500</v>
      </c>
      <c r="F25" s="5">
        <f>'ОРГАНИЗАЦИОНА 2019 6'!G247</f>
        <v>284000</v>
      </c>
      <c r="G25" s="7">
        <f t="shared" si="1"/>
        <v>105.77281191806331</v>
      </c>
    </row>
    <row r="26" spans="2:10" x14ac:dyDescent="0.25">
      <c r="B26" s="1">
        <v>412900</v>
      </c>
      <c r="C26" s="14" t="s">
        <v>60</v>
      </c>
      <c r="D26" s="5">
        <f>358000+15000</f>
        <v>373000</v>
      </c>
      <c r="E26" s="5">
        <f>'ОРГАНИЗАЦИОНА 2019 6'!E18+'ОРГАНИЗАЦИОНА 2019 6'!E64+'ОРГАНИЗАЦИОНА 2019 6'!E83+'ОРГАНИЗАЦИОНА 2019 6'!E93+'ОРГАНИЗАЦИОНА 2019 6'!E110+'ОРГАНИЗАЦИОНА 2019 6'!E111+'ОРГАНИЗАЦИОНА 2019 6'!E112+'ОРГАНИЗАЦИОНА 2019 6'!E113+'ОРГАНИЗАЦИОНА 2019 6'!E133</f>
        <v>308000</v>
      </c>
      <c r="F26" s="5">
        <f>'ОРГАНИЗАЦИОНА 2019 6'!G18+'ОРГАНИЗАЦИОНА 2019 6'!G64+'ОРГАНИЗАЦИОНА 2019 6'!G110+'ОРГАНИЗАЦИОНА 2019 6'!G111+'ОРГАНИЗАЦИОНА 2019 6'!G112+'ОРГАНИЗАЦИОНА 2019 6'!G113+'ОРГАНИЗАЦИОНА 2019 6'!G133+'ОРГАНИЗАЦИОНА 2019 6'!G290+'ОРГАНИЗАЦИОНА 2019 6'!G308+'ОРГАНИЗАЦИОНА 2019 6'!G330-8220</f>
        <v>501940</v>
      </c>
      <c r="G26" s="7">
        <f t="shared" si="1"/>
        <v>162.96753246753246</v>
      </c>
    </row>
    <row r="27" spans="2:10" x14ac:dyDescent="0.25">
      <c r="G27" s="7"/>
    </row>
    <row r="28" spans="2:10" x14ac:dyDescent="0.25">
      <c r="G28" s="7"/>
    </row>
    <row r="29" spans="2:10" s="9" customFormat="1" ht="25.5" x14ac:dyDescent="0.25">
      <c r="B29" s="173">
        <v>413</v>
      </c>
      <c r="C29" s="203" t="s">
        <v>271</v>
      </c>
      <c r="D29" s="175">
        <f>D31+D32</f>
        <v>0</v>
      </c>
      <c r="E29" s="175">
        <f>E31+E32</f>
        <v>0</v>
      </c>
      <c r="F29" s="175">
        <f>F31+F32</f>
        <v>94143</v>
      </c>
      <c r="G29" s="176">
        <v>0</v>
      </c>
    </row>
    <row r="30" spans="2:10" s="9" customFormat="1" x14ac:dyDescent="0.25">
      <c r="C30" s="8"/>
      <c r="D30" s="5"/>
      <c r="E30" s="5"/>
      <c r="F30" s="5"/>
      <c r="G30" s="7"/>
    </row>
    <row r="31" spans="2:10" s="13" customFormat="1" ht="25.5" x14ac:dyDescent="0.25">
      <c r="B31" s="13">
        <v>413300</v>
      </c>
      <c r="C31" s="14" t="s">
        <v>272</v>
      </c>
      <c r="D31" s="5">
        <v>0</v>
      </c>
      <c r="E31" s="5">
        <v>0</v>
      </c>
      <c r="F31" s="5">
        <f>'ОРГАНИЗАЦИОНА 2019 6'!G114</f>
        <v>94143</v>
      </c>
      <c r="G31" s="7">
        <v>0</v>
      </c>
    </row>
    <row r="32" spans="2:10" s="13" customFormat="1" x14ac:dyDescent="0.25">
      <c r="B32" s="13">
        <v>413900</v>
      </c>
      <c r="C32" s="14" t="s">
        <v>273</v>
      </c>
      <c r="D32" s="5">
        <v>0</v>
      </c>
      <c r="E32" s="5">
        <v>0</v>
      </c>
      <c r="F32" s="5">
        <v>0</v>
      </c>
      <c r="G32" s="7">
        <v>0</v>
      </c>
    </row>
    <row r="33" spans="2:7" s="11" customFormat="1" ht="14.25" x14ac:dyDescent="0.25">
      <c r="C33" s="12"/>
      <c r="D33" s="5"/>
      <c r="E33" s="5"/>
      <c r="F33" s="5"/>
      <c r="G33" s="7"/>
    </row>
    <row r="34" spans="2:7" s="13" customFormat="1" x14ac:dyDescent="0.25">
      <c r="B34" s="173">
        <v>414</v>
      </c>
      <c r="C34" s="174" t="s">
        <v>274</v>
      </c>
      <c r="D34" s="175">
        <f>D36+D37</f>
        <v>345000</v>
      </c>
      <c r="E34" s="175">
        <f>E36+E37</f>
        <v>203000</v>
      </c>
      <c r="F34" s="175">
        <f>F36+F37+F38</f>
        <v>205000</v>
      </c>
      <c r="G34" s="176">
        <f>F34/E34*100</f>
        <v>100.98522167487684</v>
      </c>
    </row>
    <row r="35" spans="2:7" s="13" customFormat="1" x14ac:dyDescent="0.25">
      <c r="C35" s="14"/>
      <c r="D35" s="5"/>
      <c r="E35" s="5"/>
      <c r="F35" s="5"/>
      <c r="G35" s="7"/>
    </row>
    <row r="36" spans="2:7" s="13" customFormat="1" x14ac:dyDescent="0.25">
      <c r="B36" s="13">
        <v>414100</v>
      </c>
      <c r="C36" s="14" t="s">
        <v>275</v>
      </c>
      <c r="D36" s="5">
        <v>105000</v>
      </c>
      <c r="E36" s="5">
        <f>'ОРГАНИЗАЦИОНА 2019 6'!E158</f>
        <v>88000</v>
      </c>
      <c r="F36" s="5">
        <f>'ОРГАНИЗАЦИОНА 2019 6'!G158</f>
        <v>90000</v>
      </c>
      <c r="G36" s="7">
        <f>F36/E36*100</f>
        <v>102.27272727272727</v>
      </c>
    </row>
    <row r="37" spans="2:7" s="13" customFormat="1" x14ac:dyDescent="0.25">
      <c r="B37" s="13">
        <v>414100</v>
      </c>
      <c r="C37" s="14" t="s">
        <v>276</v>
      </c>
      <c r="D37" s="5">
        <v>240000</v>
      </c>
      <c r="E37" s="5">
        <f>'ОРГАНИЗАЦИОНА 2019 6'!E159+'ОРГАНИЗАЦИОНА 2019 6'!E160</f>
        <v>115000</v>
      </c>
      <c r="F37" s="5">
        <f>'ОРГАНИЗАЦИОНА 2019 6'!G159</f>
        <v>110000</v>
      </c>
      <c r="G37" s="7">
        <f t="shared" ref="G37:G38" si="2">F37/E37*100</f>
        <v>95.652173913043484</v>
      </c>
    </row>
    <row r="38" spans="2:7" s="13" customFormat="1" ht="28.5" x14ac:dyDescent="0.2">
      <c r="B38" s="13">
        <v>414100</v>
      </c>
      <c r="C38" s="392" t="s">
        <v>179</v>
      </c>
      <c r="D38" s="5">
        <v>0</v>
      </c>
      <c r="E38" s="5">
        <v>5000</v>
      </c>
      <c r="F38" s="5">
        <f>'ОРГАНИЗАЦИОНА 2019 6'!G160</f>
        <v>5000</v>
      </c>
      <c r="G38" s="7">
        <f t="shared" si="2"/>
        <v>100</v>
      </c>
    </row>
    <row r="39" spans="2:7" s="9" customFormat="1" x14ac:dyDescent="0.25">
      <c r="C39" s="8"/>
      <c r="D39" s="5"/>
      <c r="E39" s="5"/>
      <c r="F39" s="5"/>
      <c r="G39" s="7"/>
    </row>
    <row r="40" spans="2:7" s="9" customFormat="1" x14ac:dyDescent="0.25">
      <c r="B40" s="173">
        <v>415</v>
      </c>
      <c r="C40" s="174" t="s">
        <v>277</v>
      </c>
      <c r="D40" s="175">
        <f>D42</f>
        <v>1677900</v>
      </c>
      <c r="E40" s="175">
        <f>E42</f>
        <v>1396500</v>
      </c>
      <c r="F40" s="175">
        <f>F42</f>
        <v>1691500</v>
      </c>
      <c r="G40" s="176">
        <f>F40/E40*100</f>
        <v>121.12423916935195</v>
      </c>
    </row>
    <row r="41" spans="2:7" s="9" customFormat="1" x14ac:dyDescent="0.25">
      <c r="C41" s="8"/>
      <c r="D41" s="5"/>
      <c r="E41" s="5"/>
      <c r="F41" s="5"/>
      <c r="G41" s="7"/>
    </row>
    <row r="42" spans="2:7" s="13" customFormat="1" x14ac:dyDescent="0.25">
      <c r="B42" s="13">
        <v>415200</v>
      </c>
      <c r="C42" s="14" t="s">
        <v>278</v>
      </c>
      <c r="D42" s="5">
        <v>1677900</v>
      </c>
      <c r="E42" s="235">
        <f>'ОРГАНИЗАЦИОНА 2019 6'!E163+'ОРГАНИЗАЦИОНА 2019 6'!E139+'ОРГАНИЗАЦИОНА 2019 6'!E258</f>
        <v>1396500</v>
      </c>
      <c r="F42" s="235">
        <f>'ОРГАНИЗАЦИОНА 2019 6'!G139+'ОРГАНИЗАЦИОНА 2019 6'!G163+'ОРГАНИЗАЦИОНА 2019 6'!G258+'ОРГАНИЗАЦИОНА 2019 6'!G309</f>
        <v>1691500</v>
      </c>
      <c r="G42" s="7">
        <f>F42/E42*100</f>
        <v>121.12423916935195</v>
      </c>
    </row>
    <row r="43" spans="2:7" s="9" customFormat="1" x14ac:dyDescent="0.25">
      <c r="C43" s="8"/>
      <c r="D43" s="5"/>
      <c r="E43" s="5"/>
      <c r="F43" s="5"/>
      <c r="G43" s="7"/>
    </row>
    <row r="44" spans="2:7" s="13" customFormat="1" x14ac:dyDescent="0.25">
      <c r="B44" s="173">
        <v>416</v>
      </c>
      <c r="C44" s="174" t="s">
        <v>279</v>
      </c>
      <c r="D44" s="175">
        <f>D46</f>
        <v>1100000</v>
      </c>
      <c r="E44" s="175">
        <f>E46</f>
        <v>1130000</v>
      </c>
      <c r="F44" s="175">
        <f>F46</f>
        <v>1135000</v>
      </c>
      <c r="G44" s="176">
        <f>F44/E44*100</f>
        <v>100.44247787610618</v>
      </c>
    </row>
    <row r="45" spans="2:7" s="9" customFormat="1" x14ac:dyDescent="0.25">
      <c r="C45" s="8"/>
      <c r="D45" s="5"/>
      <c r="E45" s="5"/>
      <c r="F45" s="5"/>
      <c r="G45" s="7"/>
    </row>
    <row r="46" spans="2:7" ht="25.5" x14ac:dyDescent="0.25">
      <c r="B46" s="1">
        <v>416100</v>
      </c>
      <c r="C46" s="14" t="s">
        <v>280</v>
      </c>
      <c r="D46" s="5">
        <v>1100000</v>
      </c>
      <c r="E46" s="235">
        <f>'ОРГАНИЗАЦИОНА 2019 6'!E67+'ОРГАНИЗАЦИОНА 2019 6'!E161</f>
        <v>1130000</v>
      </c>
      <c r="F46" s="235">
        <f>'ОРГАНИЗАЦИОНА 2019 6'!G292+'ОРГАНИЗАЦИОНА 2019 6'!G161+'ОРГАНИЗАЦИОНА 2019 6'!G141</f>
        <v>1135000</v>
      </c>
      <c r="G46" s="7">
        <v>100</v>
      </c>
    </row>
    <row r="47" spans="2:7" x14ac:dyDescent="0.25">
      <c r="C47" s="14"/>
      <c r="D47" s="205"/>
      <c r="E47" s="205"/>
      <c r="F47" s="205"/>
      <c r="G47" s="7"/>
    </row>
    <row r="48" spans="2:7" x14ac:dyDescent="0.25">
      <c r="B48" s="173">
        <v>419</v>
      </c>
      <c r="C48" s="206" t="s">
        <v>281</v>
      </c>
      <c r="D48" s="175">
        <v>40000</v>
      </c>
      <c r="E48" s="236">
        <f>'ОРГАНИЗАЦИОНА 2019 6'!E66</f>
        <v>10000</v>
      </c>
      <c r="F48" s="236">
        <f>'ОРГАНИЗАЦИОНА 2019 6'!G66</f>
        <v>2000</v>
      </c>
      <c r="G48" s="176">
        <f>F48/E48*100</f>
        <v>20</v>
      </c>
    </row>
    <row r="49" spans="2:7" x14ac:dyDescent="0.25">
      <c r="C49" s="14"/>
      <c r="G49" s="7"/>
    </row>
    <row r="50" spans="2:7" ht="15" x14ac:dyDescent="0.25">
      <c r="B50" s="173">
        <v>480</v>
      </c>
      <c r="C50" s="240" t="s">
        <v>323</v>
      </c>
      <c r="D50" s="175">
        <v>7000</v>
      </c>
      <c r="E50" s="175">
        <f>'ОРГАНИЗАЦИОНА 2019 6'!E116</f>
        <v>4000</v>
      </c>
      <c r="F50" s="175">
        <f>'ОРГАНИЗАЦИОНА 2019 6'!G116</f>
        <v>14000</v>
      </c>
      <c r="G50" s="176">
        <f>F50/E50*100</f>
        <v>350</v>
      </c>
    </row>
    <row r="51" spans="2:7" x14ac:dyDescent="0.25">
      <c r="C51" s="14"/>
      <c r="G51" s="7"/>
    </row>
    <row r="52" spans="2:7" x14ac:dyDescent="0.25">
      <c r="C52" s="14"/>
      <c r="G52" s="7"/>
    </row>
    <row r="53" spans="2:7" ht="14.25" x14ac:dyDescent="0.25">
      <c r="B53" s="207" t="s">
        <v>282</v>
      </c>
      <c r="C53" s="208" t="s">
        <v>142</v>
      </c>
      <c r="D53" s="209">
        <v>120000</v>
      </c>
      <c r="E53" s="209">
        <f>'ОРГАНИЗАЦИОНА 2019 6'!E148</f>
        <v>100000</v>
      </c>
      <c r="F53" s="209">
        <f>'ОРГАНИЗАЦИОНА 2019 6'!G148</f>
        <v>150000</v>
      </c>
      <c r="G53" s="210">
        <f>F53/E53*100</f>
        <v>150</v>
      </c>
    </row>
    <row r="54" spans="2:7" ht="22.5" customHeight="1" x14ac:dyDescent="0.25">
      <c r="C54" s="14"/>
      <c r="G54" s="7"/>
    </row>
    <row r="55" spans="2:7" s="9" customFormat="1" ht="14.25" customHeight="1" x14ac:dyDescent="0.25">
      <c r="B55" s="201">
        <v>51</v>
      </c>
      <c r="C55" s="202" t="s">
        <v>283</v>
      </c>
      <c r="D55" s="168">
        <f>D57+D66+D70</f>
        <v>3026000</v>
      </c>
      <c r="E55" s="168">
        <f>E57+E66+E70</f>
        <v>4109000</v>
      </c>
      <c r="F55" s="168">
        <f>F57+F66+F70</f>
        <v>3218000</v>
      </c>
      <c r="G55" s="10">
        <f>F55/E55*100</f>
        <v>78.315891944512046</v>
      </c>
    </row>
    <row r="56" spans="2:7" s="9" customFormat="1" ht="14.25" customHeight="1" x14ac:dyDescent="0.25">
      <c r="C56" s="8"/>
      <c r="D56" s="5"/>
      <c r="E56" s="5"/>
      <c r="F56" s="5"/>
      <c r="G56" s="7"/>
    </row>
    <row r="57" spans="2:7" s="9" customFormat="1" ht="14.25" customHeight="1" x14ac:dyDescent="0.25">
      <c r="B57" s="211">
        <v>511</v>
      </c>
      <c r="C57" s="212" t="s">
        <v>284</v>
      </c>
      <c r="D57" s="175">
        <f>D59+D60+D61+D62+D63+D64</f>
        <v>2936000</v>
      </c>
      <c r="E57" s="175">
        <f>E59+E60+E61+E62+E63+E64</f>
        <v>3484000</v>
      </c>
      <c r="F57" s="175">
        <f>F59+F60+F61+F62+F63+F64</f>
        <v>2906000</v>
      </c>
      <c r="G57" s="176">
        <f>F57/E57*100</f>
        <v>83.40987370838117</v>
      </c>
    </row>
    <row r="58" spans="2:7" s="9" customFormat="1" ht="14.25" customHeight="1" x14ac:dyDescent="0.25">
      <c r="C58" s="8"/>
      <c r="D58" s="5"/>
      <c r="E58" s="5"/>
      <c r="F58" s="5"/>
      <c r="G58" s="7"/>
    </row>
    <row r="59" spans="2:7" s="13" customFormat="1" ht="14.25" customHeight="1" x14ac:dyDescent="0.25">
      <c r="B59" s="13">
        <v>511100</v>
      </c>
      <c r="C59" s="14" t="s">
        <v>285</v>
      </c>
      <c r="D59" s="5">
        <v>2710000</v>
      </c>
      <c r="E59" s="235">
        <f>'ОРГАНИЗАЦИОНА 2019 6'!E262+'ОРГАНИЗАЦИОНА 2019 6'!E263+'ОРГАНИЗАЦИОНА 2019 6'!E265+'ОРГАНИЗАЦИОНА 2019 6'!E266+'ОРГАНИЗАЦИОНА 2019 6'!E267+'ОРГАНИЗАЦИОНА 2019 6'!E268+'ОРГАНИЗАЦИОНА 2019 6'!E269+'ОРГАНИЗАЦИОНА 2019 6'!E272</f>
        <v>3430000</v>
      </c>
      <c r="F59" s="235">
        <f>'ОРГАНИЗАЦИОНА 2019 6'!G262+'ОРГАНИЗАЦИОНА 2019 6'!G263+'ОРГАНИЗАЦИОНА 2019 6'!G265+'ОРГАНИЗАЦИОНА 2019 6'!G266+'ОРГАНИЗАЦИОНА 2019 6'!G268+'ОРГАНИЗАЦИОНА 2019 6'!G269+'ОРГАНИЗАЦИОНА 2019 6'!G273+'ОРГАНИЗАЦИОНА 2019 6'!G314</f>
        <v>2737000</v>
      </c>
      <c r="G59" s="7">
        <f>F59/E59*100</f>
        <v>79.795918367346943</v>
      </c>
    </row>
    <row r="60" spans="2:7" s="13" customFormat="1" ht="25.5" customHeight="1" x14ac:dyDescent="0.25">
      <c r="B60" s="13">
        <v>511200</v>
      </c>
      <c r="C60" s="14" t="s">
        <v>286</v>
      </c>
      <c r="D60" s="5">
        <v>58000</v>
      </c>
      <c r="E60" s="235">
        <f>'ОРГАНИЗАЦИОНА 2019 6'!E271+'ОРГАНИЗАЦИОНА 2019 6'!E78</f>
        <v>43000</v>
      </c>
      <c r="F60" s="235">
        <f>'ОРГАНИЗАЦИОНА 2019 6'!G275+'ОРГАНИЗАЦИОНА 2019 6'!G271+'ОРГАНИЗАЦИОНА 2019 6'!G272</f>
        <v>85000</v>
      </c>
      <c r="G60" s="7">
        <f t="shared" ref="G60:G64" si="3">F60/E60*100</f>
        <v>197.67441860465115</v>
      </c>
    </row>
    <row r="61" spans="2:7" s="13" customFormat="1" ht="14.25" customHeight="1" x14ac:dyDescent="0.25">
      <c r="B61" s="13">
        <v>511300</v>
      </c>
      <c r="C61" s="14" t="s">
        <v>111</v>
      </c>
      <c r="D61" s="5">
        <v>97000</v>
      </c>
      <c r="E61" s="235">
        <f>'ОРГАНИЗАЦИОНА 2019 6'!E85+'ОРГАНИЗАЦИОНА 2019 6'!E86+'ОРГАНИЗАЦИОНА 2019 6'!E120+'ОРГАНИЗАЦИОНА 2019 6'!E121+'ОРГАНИЗАЦИОНА 2019 6'!E123</f>
        <v>10000</v>
      </c>
      <c r="F61" s="235">
        <f>'ОРГАНИЗАЦИОНА 2019 6'!G313+'ОРГАНИЗАЦИОНА 2019 6'!G331+'ОРГАНИЗАЦИОНА 2019 6'!G123+'ОРГАНИЗАЦИОНА 2019 6'!G121+'ОРГАНИЗАЦИОНА 2019 6'!G120+'ОРГАНИЗАЦИОНА 2019 6'!G84</f>
        <v>84000</v>
      </c>
      <c r="G61" s="7">
        <f t="shared" si="3"/>
        <v>840</v>
      </c>
    </row>
    <row r="62" spans="2:7" s="13" customFormat="1" ht="14.25" customHeight="1" x14ac:dyDescent="0.25">
      <c r="B62" s="13">
        <v>511400</v>
      </c>
      <c r="C62" s="14" t="s">
        <v>287</v>
      </c>
      <c r="D62" s="5">
        <v>0</v>
      </c>
      <c r="E62" s="235">
        <v>0</v>
      </c>
      <c r="F62" s="235">
        <v>0</v>
      </c>
      <c r="G62" s="7" t="e">
        <f t="shared" si="3"/>
        <v>#DIV/0!</v>
      </c>
    </row>
    <row r="63" spans="2:7" s="13" customFormat="1" ht="14.25" customHeight="1" x14ac:dyDescent="0.25">
      <c r="B63" s="13">
        <v>511500</v>
      </c>
      <c r="C63" s="14" t="s">
        <v>288</v>
      </c>
      <c r="D63" s="5">
        <v>0</v>
      </c>
      <c r="E63" s="235">
        <v>0</v>
      </c>
      <c r="F63" s="235">
        <v>0</v>
      </c>
      <c r="G63" s="7" t="e">
        <f t="shared" si="3"/>
        <v>#DIV/0!</v>
      </c>
    </row>
    <row r="64" spans="2:7" s="13" customFormat="1" ht="14.25" customHeight="1" x14ac:dyDescent="0.25">
      <c r="B64" s="13">
        <v>511700</v>
      </c>
      <c r="C64" s="14" t="s">
        <v>289</v>
      </c>
      <c r="D64" s="5">
        <v>71000</v>
      </c>
      <c r="E64" s="235">
        <f>'ОРГАНИЗАЦИОНА 2019 6'!E122</f>
        <v>1000</v>
      </c>
      <c r="F64" s="235">
        <f>'ОРГАНИЗАЦИОНА 2019 6'!G229</f>
        <v>0</v>
      </c>
      <c r="G64" s="7">
        <f t="shared" si="3"/>
        <v>0</v>
      </c>
    </row>
    <row r="65" spans="2:7" s="9" customFormat="1" ht="14.25" customHeight="1" x14ac:dyDescent="0.25">
      <c r="C65" s="8"/>
      <c r="D65" s="5"/>
      <c r="E65" s="5"/>
      <c r="F65" s="5"/>
      <c r="G65" s="7"/>
    </row>
    <row r="66" spans="2:7" ht="14.25" customHeight="1" x14ac:dyDescent="0.25">
      <c r="B66" s="173">
        <v>513</v>
      </c>
      <c r="C66" s="174" t="s">
        <v>290</v>
      </c>
      <c r="D66" s="175">
        <f>D68</f>
        <v>80000</v>
      </c>
      <c r="E66" s="175">
        <f>E68</f>
        <v>612000</v>
      </c>
      <c r="F66" s="175">
        <f>F68</f>
        <v>298000</v>
      </c>
      <c r="G66" s="176">
        <f>F66/E66*100</f>
        <v>48.692810457516337</v>
      </c>
    </row>
    <row r="67" spans="2:7" s="9" customFormat="1" ht="14.25" customHeight="1" x14ac:dyDescent="0.25">
      <c r="C67" s="8"/>
      <c r="D67" s="5"/>
      <c r="E67" s="5"/>
      <c r="F67" s="5"/>
      <c r="G67" s="7"/>
    </row>
    <row r="68" spans="2:7" s="13" customFormat="1" ht="14.25" customHeight="1" x14ac:dyDescent="0.25">
      <c r="B68" s="13">
        <v>513100</v>
      </c>
      <c r="C68" s="14" t="s">
        <v>291</v>
      </c>
      <c r="D68" s="5">
        <v>80000</v>
      </c>
      <c r="E68" s="5">
        <f>'ОРГАНИЗАЦИОНА 2019 6'!E227</f>
        <v>612000</v>
      </c>
      <c r="F68" s="5">
        <f>'ОРГАНИЗАЦИОНА 2019 6'!G227</f>
        <v>298000</v>
      </c>
      <c r="G68" s="7">
        <f>F68/E68*100</f>
        <v>48.692810457516337</v>
      </c>
    </row>
    <row r="69" spans="2:7" s="9" customFormat="1" ht="14.25" customHeight="1" x14ac:dyDescent="0.25">
      <c r="C69" s="8"/>
      <c r="D69" s="5"/>
      <c r="E69" s="5"/>
      <c r="F69" s="5"/>
      <c r="G69" s="7"/>
    </row>
    <row r="70" spans="2:7" ht="24.75" customHeight="1" x14ac:dyDescent="0.25">
      <c r="B70" s="173">
        <v>516</v>
      </c>
      <c r="C70" s="174" t="s">
        <v>133</v>
      </c>
      <c r="D70" s="175">
        <f>D72</f>
        <v>10000</v>
      </c>
      <c r="E70" s="175">
        <f>E72</f>
        <v>13000</v>
      </c>
      <c r="F70" s="175">
        <f>F72</f>
        <v>14000</v>
      </c>
      <c r="G70" s="176">
        <f>F70/E70*100</f>
        <v>107.69230769230769</v>
      </c>
    </row>
    <row r="71" spans="2:7" s="9" customFormat="1" ht="14.25" customHeight="1" x14ac:dyDescent="0.25">
      <c r="C71" s="8"/>
      <c r="D71" s="5"/>
      <c r="E71" s="5"/>
      <c r="F71" s="5"/>
      <c r="G71" s="7"/>
    </row>
    <row r="72" spans="2:7" s="13" customFormat="1" ht="14.25" customHeight="1" x14ac:dyDescent="0.25">
      <c r="B72" s="13">
        <v>516100</v>
      </c>
      <c r="C72" s="14" t="s">
        <v>292</v>
      </c>
      <c r="D72" s="5">
        <v>10000</v>
      </c>
      <c r="E72" s="5">
        <f>'ОРГАНИЗАЦИОНА 2019 6'!E124</f>
        <v>13000</v>
      </c>
      <c r="F72" s="5">
        <f>'ОРГАНИЗАЦИОНА 2019 6'!G124</f>
        <v>14000</v>
      </c>
      <c r="G72" s="7">
        <f>F72/E72*100</f>
        <v>107.69230769230769</v>
      </c>
    </row>
    <row r="73" spans="2:7" s="9" customFormat="1" ht="14.25" customHeight="1" x14ac:dyDescent="0.25">
      <c r="C73" s="8"/>
      <c r="D73" s="5"/>
      <c r="E73" s="5"/>
      <c r="F73" s="5"/>
      <c r="G73" s="7"/>
    </row>
    <row r="74" spans="2:7" s="9" customFormat="1" ht="14.25" customHeight="1" x14ac:dyDescent="0.25">
      <c r="B74" s="386">
        <v>621</v>
      </c>
      <c r="C74" s="387" t="s">
        <v>320</v>
      </c>
      <c r="D74" s="388">
        <f>D76</f>
        <v>0</v>
      </c>
      <c r="E74" s="388">
        <f>E76</f>
        <v>0</v>
      </c>
      <c r="F74" s="388">
        <f>F76</f>
        <v>55079</v>
      </c>
      <c r="G74" s="192">
        <v>0</v>
      </c>
    </row>
    <row r="75" spans="2:7" s="9" customFormat="1" ht="14.25" customHeight="1" x14ac:dyDescent="0.25">
      <c r="C75" s="8"/>
      <c r="D75" s="5"/>
      <c r="E75" s="5"/>
      <c r="F75" s="5"/>
      <c r="G75" s="7"/>
    </row>
    <row r="76" spans="2:7" s="9" customFormat="1" ht="14.25" customHeight="1" x14ac:dyDescent="0.25">
      <c r="B76" s="9">
        <v>621300</v>
      </c>
      <c r="C76" s="389" t="s">
        <v>364</v>
      </c>
      <c r="D76" s="5">
        <v>0</v>
      </c>
      <c r="E76" s="5">
        <v>0</v>
      </c>
      <c r="F76" s="5">
        <f>'ОРГАНИЗАЦИОНА 2019 6'!G126</f>
        <v>55079</v>
      </c>
      <c r="G76" s="7">
        <v>0</v>
      </c>
    </row>
    <row r="77" spans="2:7" s="9" customFormat="1" ht="14.25" customHeight="1" x14ac:dyDescent="0.25">
      <c r="C77" s="8"/>
      <c r="D77" s="5"/>
      <c r="E77" s="5"/>
      <c r="F77" s="5"/>
      <c r="G77" s="7"/>
    </row>
    <row r="78" spans="2:7" s="9" customFormat="1" ht="14.25" customHeight="1" x14ac:dyDescent="0.25">
      <c r="B78" s="213"/>
      <c r="C78" s="151" t="s">
        <v>70</v>
      </c>
      <c r="D78" s="199">
        <f>D55+D53+D7+D50</f>
        <v>8991798</v>
      </c>
      <c r="E78" s="199">
        <f>E55+E53+E50+E7</f>
        <v>9510828</v>
      </c>
      <c r="F78" s="199">
        <f>F55+F53+F7+F74</f>
        <v>9960289</v>
      </c>
      <c r="G78" s="29">
        <f>F78/E78*100</f>
        <v>104.72578202444625</v>
      </c>
    </row>
    <row r="79" spans="2:7" s="9" customFormat="1" ht="14.25" customHeight="1" x14ac:dyDescent="0.25">
      <c r="C79" s="8"/>
      <c r="D79" s="7"/>
      <c r="E79" s="7"/>
      <c r="F79" s="7"/>
      <c r="G79" s="7"/>
    </row>
    <row r="80" spans="2:7" s="9" customFormat="1" x14ac:dyDescent="0.25">
      <c r="C80" s="8"/>
      <c r="D80" s="7"/>
      <c r="E80" s="7"/>
      <c r="F80" s="7"/>
      <c r="G80" s="7"/>
    </row>
    <row r="81" spans="2:7" s="9" customFormat="1" ht="14.25" x14ac:dyDescent="0.25">
      <c r="B81" s="214"/>
      <c r="C81" s="214"/>
      <c r="D81" s="215"/>
      <c r="E81" s="215"/>
      <c r="F81" s="215"/>
      <c r="G81" s="215"/>
    </row>
    <row r="82" spans="2:7" s="9" customFormat="1" x14ac:dyDescent="0.25">
      <c r="B82" s="193"/>
      <c r="C82" s="194"/>
      <c r="D82" s="195"/>
      <c r="E82" s="195"/>
      <c r="F82" s="195"/>
      <c r="G82" s="195"/>
    </row>
    <row r="83" spans="2:7" s="9" customFormat="1" ht="15" customHeight="1" x14ac:dyDescent="0.25">
      <c r="B83" s="214"/>
      <c r="C83" s="214"/>
      <c r="D83" s="216"/>
      <c r="E83" s="216"/>
      <c r="F83" s="216"/>
      <c r="G83" s="216"/>
    </row>
    <row r="84" spans="2:7" s="9" customFormat="1" x14ac:dyDescent="0.25">
      <c r="B84" s="193"/>
      <c r="C84" s="194"/>
      <c r="D84" s="195"/>
      <c r="E84" s="195"/>
      <c r="F84" s="195"/>
      <c r="G84" s="195"/>
    </row>
    <row r="85" spans="2:7" x14ac:dyDescent="0.25">
      <c r="B85" s="217"/>
      <c r="C85" s="218"/>
      <c r="D85" s="195"/>
      <c r="E85" s="195"/>
      <c r="F85" s="195"/>
      <c r="G85" s="195"/>
    </row>
    <row r="86" spans="2:7" s="9" customFormat="1" x14ac:dyDescent="0.25">
      <c r="B86" s="193"/>
      <c r="C86" s="194"/>
      <c r="D86" s="195"/>
      <c r="E86" s="195"/>
      <c r="F86" s="195"/>
      <c r="G86" s="195"/>
    </row>
    <row r="87" spans="2:7" s="9" customFormat="1" x14ac:dyDescent="0.25">
      <c r="B87" s="214"/>
      <c r="C87" s="214"/>
      <c r="D87" s="216"/>
      <c r="E87" s="216"/>
      <c r="F87" s="216"/>
      <c r="G87" s="216"/>
    </row>
    <row r="88" spans="2:7" s="9" customFormat="1" x14ac:dyDescent="0.25">
      <c r="B88" s="193"/>
      <c r="C88" s="194"/>
      <c r="D88" s="195"/>
      <c r="E88" s="195"/>
      <c r="F88" s="195"/>
      <c r="G88" s="195"/>
    </row>
    <row r="89" spans="2:7" s="9" customFormat="1" x14ac:dyDescent="0.25">
      <c r="B89" s="217"/>
      <c r="C89" s="218"/>
      <c r="D89" s="195"/>
      <c r="E89" s="195"/>
      <c r="F89" s="195"/>
      <c r="G89" s="195"/>
    </row>
    <row r="90" spans="2:7" s="9" customFormat="1" x14ac:dyDescent="0.25">
      <c r="B90" s="193"/>
      <c r="C90" s="194"/>
      <c r="D90" s="195"/>
      <c r="E90" s="195"/>
      <c r="F90" s="195"/>
      <c r="G90" s="195"/>
    </row>
    <row r="91" spans="2:7" s="9" customFormat="1" ht="15.75" x14ac:dyDescent="0.25">
      <c r="B91" s="214"/>
      <c r="C91" s="214"/>
      <c r="D91" s="219"/>
      <c r="E91" s="219"/>
      <c r="F91" s="219"/>
      <c r="G91" s="219"/>
    </row>
    <row r="92" spans="2:7" s="21" customFormat="1" x14ac:dyDescent="0.25">
      <c r="B92" s="217"/>
      <c r="C92" s="218"/>
      <c r="D92" s="216"/>
      <c r="E92" s="216"/>
      <c r="F92" s="216"/>
      <c r="G92" s="216"/>
    </row>
    <row r="93" spans="2:7" s="21" customFormat="1" x14ac:dyDescent="0.25">
      <c r="B93" s="217"/>
      <c r="C93" s="218"/>
      <c r="D93" s="216"/>
      <c r="E93" s="216"/>
      <c r="F93" s="216"/>
      <c r="G93" s="216"/>
    </row>
    <row r="94" spans="2:7" s="21" customFormat="1" x14ac:dyDescent="0.25">
      <c r="B94" s="217"/>
      <c r="C94" s="194"/>
      <c r="D94" s="195"/>
      <c r="E94" s="195"/>
      <c r="F94" s="195"/>
      <c r="G94" s="195"/>
    </row>
    <row r="95" spans="2:7" s="21" customFormat="1" x14ac:dyDescent="0.25">
      <c r="B95" s="217"/>
      <c r="C95" s="218"/>
      <c r="D95" s="216"/>
      <c r="E95" s="216"/>
      <c r="F95" s="216"/>
      <c r="G95" s="216"/>
    </row>
    <row r="96" spans="2:7" s="9" customFormat="1" x14ac:dyDescent="0.25">
      <c r="B96" s="193"/>
      <c r="C96" s="194"/>
      <c r="D96" s="195"/>
      <c r="E96" s="195"/>
      <c r="F96" s="195"/>
      <c r="G96" s="195"/>
    </row>
    <row r="97" spans="2:7" s="30" customFormat="1" ht="15.75" x14ac:dyDescent="0.25">
      <c r="B97" s="220"/>
      <c r="C97" s="220"/>
      <c r="D97" s="219"/>
      <c r="E97" s="219"/>
      <c r="F97" s="219"/>
      <c r="G97" s="219"/>
    </row>
    <row r="98" spans="2:7" s="9" customFormat="1" x14ac:dyDescent="0.25">
      <c r="C98" s="8"/>
      <c r="D98" s="7"/>
      <c r="E98" s="7"/>
      <c r="F98" s="7"/>
      <c r="G98" s="7"/>
    </row>
    <row r="99" spans="2:7" s="9" customFormat="1" x14ac:dyDescent="0.25">
      <c r="C99" s="8"/>
      <c r="D99" s="7"/>
      <c r="E99" s="7"/>
      <c r="F99" s="7"/>
      <c r="G99" s="7"/>
    </row>
    <row r="100" spans="2:7" s="9" customFormat="1" x14ac:dyDescent="0.25">
      <c r="C100" s="8"/>
      <c r="D100" s="7"/>
      <c r="E100" s="7"/>
      <c r="F100" s="7"/>
      <c r="G100" s="7"/>
    </row>
    <row r="101" spans="2:7" s="9" customFormat="1" x14ac:dyDescent="0.25">
      <c r="C101" s="8"/>
      <c r="D101" s="7"/>
      <c r="E101" s="7"/>
      <c r="F101" s="7"/>
      <c r="G101" s="7"/>
    </row>
    <row r="102" spans="2:7" s="9" customFormat="1" x14ac:dyDescent="0.25">
      <c r="C102" s="8"/>
      <c r="D102" s="7"/>
      <c r="E102" s="7"/>
      <c r="F102" s="7"/>
      <c r="G102" s="7"/>
    </row>
    <row r="103" spans="2:7" s="9" customFormat="1" x14ac:dyDescent="0.25">
      <c r="C103" s="8"/>
      <c r="D103" s="7"/>
      <c r="E103" s="7"/>
      <c r="F103" s="7"/>
      <c r="G103" s="7"/>
    </row>
    <row r="104" spans="2:7" s="9" customFormat="1" x14ac:dyDescent="0.25">
      <c r="C104" s="8"/>
      <c r="D104" s="7"/>
      <c r="E104" s="7"/>
      <c r="F104" s="7"/>
      <c r="G104" s="7"/>
    </row>
    <row r="105" spans="2:7" s="9" customFormat="1" x14ac:dyDescent="0.25">
      <c r="C105" s="8"/>
      <c r="D105" s="7"/>
      <c r="E105" s="7"/>
      <c r="F105" s="7"/>
      <c r="G105" s="7"/>
    </row>
    <row r="106" spans="2:7" s="9" customFormat="1" x14ac:dyDescent="0.25">
      <c r="C106" s="8"/>
      <c r="D106" s="7"/>
      <c r="E106" s="7"/>
      <c r="F106" s="7"/>
      <c r="G106" s="7"/>
    </row>
    <row r="107" spans="2:7" s="9" customFormat="1" x14ac:dyDescent="0.25">
      <c r="C107" s="8"/>
      <c r="D107" s="7"/>
      <c r="E107" s="7"/>
      <c r="F107" s="7"/>
      <c r="G107" s="7"/>
    </row>
    <row r="108" spans="2:7" s="9" customFormat="1" x14ac:dyDescent="0.25">
      <c r="C108" s="8"/>
      <c r="D108" s="7"/>
      <c r="E108" s="7"/>
      <c r="F108" s="7"/>
      <c r="G108" s="7"/>
    </row>
    <row r="109" spans="2:7" s="9" customFormat="1" x14ac:dyDescent="0.25">
      <c r="C109" s="8"/>
      <c r="D109" s="7"/>
      <c r="E109" s="7"/>
      <c r="F109" s="7"/>
      <c r="G109" s="7"/>
    </row>
  </sheetData>
  <mergeCells count="1">
    <mergeCell ref="B2:G2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ФУНКЦИОНАЛНА 2018 5</vt:lpstr>
      <vt:lpstr>ФИНАНСИРАЊЕ 2018 4</vt:lpstr>
      <vt:lpstr>ОРГАНИЗАЦИОНА 2019 6</vt:lpstr>
      <vt:lpstr>ОПШТИ ДИО 2018 1</vt:lpstr>
      <vt:lpstr>ПРИХОДИ И ПРИМИЦИ 2018 3</vt:lpstr>
      <vt:lpstr>РАСХОДИ И ИЗДАЦИ 2019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PC User</cp:lastModifiedBy>
  <cp:lastPrinted>2019-10-29T10:48:41Z</cp:lastPrinted>
  <dcterms:created xsi:type="dcterms:W3CDTF">2017-11-04T15:30:54Z</dcterms:created>
  <dcterms:modified xsi:type="dcterms:W3CDTF">2019-10-29T12:25:26Z</dcterms:modified>
  <cp:contentStatus/>
</cp:coreProperties>
</file>